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ансово-экономический отдел\ДЛЯ САЙТА\"/>
    </mc:Choice>
  </mc:AlternateContent>
  <bookViews>
    <workbookView xWindow="0" yWindow="0" windowWidth="24000" windowHeight="9735"/>
  </bookViews>
  <sheets>
    <sheet name="кор-ка остатка на 01.01.2014" sheetId="22" r:id="rId1"/>
  </sheets>
  <definedNames>
    <definedName name="_xlnm._FilterDatabase" localSheetId="0" hidden="1">'кор-ка остатка на 01.01.2014'!$A$5:$G$337</definedName>
    <definedName name="_xlnm.Print_Titles" localSheetId="0">'кор-ка остатка на 01.01.2014'!$3:$5</definedName>
  </definedNames>
  <calcPr calcId="152511"/>
</workbook>
</file>

<file path=xl/calcChain.xml><?xml version="1.0" encoding="utf-8"?>
<calcChain xmlns="http://schemas.openxmlformats.org/spreadsheetml/2006/main">
  <c r="D334" i="22" l="1"/>
  <c r="C331" i="22" l="1"/>
  <c r="B331" i="22"/>
  <c r="C328" i="22"/>
  <c r="B328" i="22"/>
  <c r="C327" i="22"/>
  <c r="B327" i="22"/>
  <c r="C326" i="22"/>
  <c r="B326" i="22"/>
  <c r="C325" i="22"/>
  <c r="B325" i="22"/>
  <c r="C322" i="22"/>
  <c r="B322" i="22"/>
  <c r="C321" i="22"/>
  <c r="B321" i="22"/>
  <c r="C320" i="22"/>
  <c r="B320" i="22"/>
  <c r="C319" i="22"/>
  <c r="B319" i="22"/>
  <c r="C318" i="22"/>
  <c r="B318" i="22"/>
  <c r="C317" i="22"/>
  <c r="B317" i="22"/>
  <c r="C316" i="22"/>
  <c r="B316" i="22"/>
  <c r="C315" i="22"/>
  <c r="B315" i="22"/>
  <c r="C314" i="22"/>
  <c r="B314" i="22"/>
  <c r="C313" i="22"/>
  <c r="B313" i="22"/>
  <c r="C312" i="22"/>
  <c r="B312" i="22"/>
  <c r="C311" i="22"/>
  <c r="B311" i="22"/>
  <c r="C310" i="22"/>
  <c r="B310" i="22"/>
  <c r="C309" i="22"/>
  <c r="B309" i="22"/>
  <c r="C308" i="22"/>
  <c r="B308" i="22"/>
  <c r="C307" i="22"/>
  <c r="B307" i="22"/>
  <c r="C306" i="22"/>
  <c r="B306" i="22"/>
  <c r="C305" i="22"/>
  <c r="B305" i="22"/>
  <c r="C304" i="22"/>
  <c r="B304" i="22"/>
  <c r="C303" i="22"/>
  <c r="B303" i="22"/>
  <c r="C302" i="22"/>
  <c r="B302" i="22"/>
  <c r="C301" i="22"/>
  <c r="B301" i="22"/>
  <c r="C300" i="22"/>
  <c r="B300" i="22"/>
  <c r="C299" i="22"/>
  <c r="B299" i="22"/>
  <c r="C298" i="22"/>
  <c r="B298" i="22"/>
  <c r="C297" i="22"/>
  <c r="B297" i="22"/>
  <c r="C296" i="22"/>
  <c r="B296" i="22"/>
  <c r="C295" i="22"/>
  <c r="B295" i="22"/>
  <c r="C294" i="22"/>
  <c r="B294" i="22"/>
  <c r="C293" i="22"/>
  <c r="B293" i="22"/>
  <c r="C292" i="22"/>
  <c r="B292" i="22"/>
  <c r="C291" i="22"/>
  <c r="B291" i="22"/>
  <c r="C323" i="22"/>
  <c r="B323" i="22"/>
  <c r="C324" i="22"/>
  <c r="B324" i="22"/>
  <c r="C290" i="22"/>
  <c r="B290" i="22"/>
  <c r="C289" i="22"/>
  <c r="B289" i="22"/>
  <c r="C288" i="22"/>
  <c r="B288" i="22"/>
  <c r="C287" i="22"/>
  <c r="B287" i="22"/>
  <c r="C286" i="22"/>
  <c r="B286" i="22"/>
  <c r="C285" i="22"/>
  <c r="B285" i="22"/>
  <c r="C284" i="22"/>
  <c r="B284" i="22"/>
  <c r="C282" i="22"/>
  <c r="B282" i="22"/>
  <c r="C283" i="22"/>
  <c r="B283" i="22"/>
  <c r="C281" i="22"/>
  <c r="B281" i="22"/>
  <c r="C280" i="22"/>
  <c r="B280" i="22"/>
  <c r="C279" i="22"/>
  <c r="B279" i="22"/>
  <c r="C278" i="22"/>
  <c r="B278" i="22"/>
  <c r="C277" i="22"/>
  <c r="B277" i="22"/>
  <c r="C276" i="22"/>
  <c r="B276" i="22"/>
  <c r="C275" i="22"/>
  <c r="B275" i="22"/>
  <c r="C272" i="22"/>
  <c r="B272" i="22"/>
  <c r="C271" i="22"/>
  <c r="B271" i="22"/>
  <c r="C270" i="22"/>
  <c r="B270" i="22"/>
  <c r="C269" i="22"/>
  <c r="B269" i="22"/>
  <c r="C268" i="22"/>
  <c r="B268" i="22"/>
  <c r="C267" i="22"/>
  <c r="B267" i="22"/>
  <c r="C266" i="22"/>
  <c r="B266" i="22"/>
  <c r="C265" i="22"/>
  <c r="B265" i="22"/>
  <c r="C264" i="22"/>
  <c r="B264" i="22"/>
  <c r="C263" i="22"/>
  <c r="B263" i="22"/>
  <c r="C262" i="22"/>
  <c r="B262" i="22"/>
  <c r="C261" i="22"/>
  <c r="B261" i="22"/>
  <c r="C260" i="22"/>
  <c r="B260" i="22"/>
  <c r="C259" i="22"/>
  <c r="B259" i="22"/>
  <c r="C258" i="22"/>
  <c r="B258" i="22"/>
  <c r="C257" i="22"/>
  <c r="B257" i="22"/>
  <c r="C274" i="22"/>
  <c r="B274" i="22"/>
  <c r="C256" i="22"/>
  <c r="B256" i="22"/>
  <c r="C255" i="22"/>
  <c r="B255" i="22"/>
  <c r="C254" i="22"/>
  <c r="B254" i="22"/>
  <c r="C253" i="22"/>
  <c r="B253" i="22"/>
  <c r="C252" i="22"/>
  <c r="B252" i="22"/>
  <c r="C251" i="22"/>
  <c r="B251" i="22"/>
  <c r="C273" i="22"/>
  <c r="B273" i="22"/>
  <c r="C250" i="22"/>
  <c r="B250" i="22"/>
  <c r="C249" i="22"/>
  <c r="B249" i="22"/>
  <c r="C248" i="22"/>
  <c r="B248" i="22"/>
  <c r="C247" i="22"/>
  <c r="B247" i="22"/>
  <c r="C246" i="22"/>
  <c r="B246" i="22"/>
  <c r="C245" i="22"/>
  <c r="B245" i="22"/>
  <c r="C244" i="22"/>
  <c r="B244" i="22"/>
  <c r="C243" i="22"/>
  <c r="B243" i="22"/>
  <c r="C242" i="22"/>
  <c r="B242" i="22"/>
  <c r="C241" i="22"/>
  <c r="B241" i="22"/>
  <c r="B240" i="22"/>
  <c r="C240" i="22"/>
  <c r="C239" i="22"/>
  <c r="B239" i="22"/>
  <c r="C238" i="22"/>
  <c r="B238" i="22"/>
  <c r="C237" i="22"/>
  <c r="B237" i="22"/>
  <c r="C236" i="22" l="1"/>
  <c r="B236" i="22"/>
  <c r="C235" i="22"/>
  <c r="B235" i="22"/>
  <c r="C234" i="22"/>
  <c r="B234" i="22"/>
  <c r="C233" i="22"/>
  <c r="B233" i="22"/>
  <c r="C232" i="22"/>
  <c r="B232" i="22"/>
  <c r="C231" i="22"/>
  <c r="B231" i="22"/>
  <c r="C230" i="22"/>
  <c r="B230" i="22"/>
  <c r="C229" i="22"/>
  <c r="B229" i="22"/>
  <c r="C228" i="22"/>
  <c r="B228" i="22"/>
  <c r="C227" i="22"/>
  <c r="B227" i="22"/>
  <c r="C226" i="22"/>
  <c r="B226" i="22"/>
  <c r="C225" i="22"/>
  <c r="B225" i="22"/>
  <c r="C224" i="22"/>
  <c r="B224" i="22"/>
  <c r="C223" i="22"/>
  <c r="B223" i="22"/>
  <c r="C222" i="22"/>
  <c r="B222" i="22"/>
  <c r="B221" i="22"/>
  <c r="C221" i="22"/>
  <c r="C220" i="22"/>
  <c r="B220" i="22"/>
  <c r="C219" i="22"/>
  <c r="B219" i="22"/>
  <c r="C218" i="22"/>
  <c r="B218" i="22"/>
  <c r="C217" i="22"/>
  <c r="B217" i="22"/>
  <c r="C216" i="22"/>
  <c r="B216" i="22"/>
  <c r="C215" i="22"/>
  <c r="B215" i="22"/>
  <c r="C214" i="22"/>
  <c r="B214" i="22"/>
  <c r="C213" i="22" l="1"/>
  <c r="B213" i="22"/>
  <c r="C212" i="22"/>
  <c r="B212" i="22"/>
  <c r="C211" i="22"/>
  <c r="B211" i="22"/>
  <c r="C210" i="22"/>
  <c r="B210" i="22"/>
  <c r="C209" i="22"/>
  <c r="B209" i="22"/>
  <c r="C204" i="22"/>
  <c r="B204" i="22"/>
  <c r="C203" i="22"/>
  <c r="B203" i="22"/>
  <c r="C202" i="22"/>
  <c r="B202" i="22"/>
  <c r="C206" i="22"/>
  <c r="B206" i="22"/>
  <c r="C207" i="22"/>
  <c r="B207" i="22"/>
  <c r="C208" i="22"/>
  <c r="B208" i="22"/>
  <c r="C205" i="22"/>
  <c r="B205" i="22"/>
  <c r="C201" i="22"/>
  <c r="B201" i="22"/>
  <c r="C200" i="22"/>
  <c r="B200" i="22"/>
  <c r="C199" i="22" l="1"/>
  <c r="B199" i="22"/>
  <c r="C198" i="22"/>
  <c r="B198" i="22"/>
  <c r="C197" i="22"/>
  <c r="B197" i="22"/>
  <c r="C196" i="22"/>
  <c r="B196" i="22"/>
  <c r="C195" i="22"/>
  <c r="B195" i="22"/>
  <c r="C194" i="22"/>
  <c r="B194" i="22"/>
  <c r="C193" i="22"/>
  <c r="B193" i="22"/>
  <c r="C192" i="22"/>
  <c r="B192" i="22"/>
  <c r="C191" i="22"/>
  <c r="B191" i="22"/>
  <c r="C190" i="22"/>
  <c r="B190" i="22"/>
  <c r="C189" i="22"/>
  <c r="B189" i="22"/>
  <c r="C188" i="22"/>
  <c r="B188" i="22"/>
  <c r="C187" i="22"/>
  <c r="B187" i="22"/>
  <c r="C186" i="22"/>
  <c r="B186" i="22"/>
  <c r="C185" i="22"/>
  <c r="B185" i="22"/>
  <c r="C184" i="22" l="1"/>
  <c r="B184" i="22"/>
  <c r="C183" i="22"/>
  <c r="B183" i="22"/>
  <c r="C182" i="22"/>
  <c r="B182" i="22"/>
  <c r="G182" i="22" s="1"/>
  <c r="C181" i="22"/>
  <c r="B181" i="22"/>
  <c r="G181" i="22" s="1"/>
  <c r="C180" i="22"/>
  <c r="B180" i="22"/>
  <c r="C179" i="22"/>
  <c r="B179" i="22"/>
  <c r="G179" i="22" s="1"/>
  <c r="C178" i="22"/>
  <c r="B178" i="22"/>
  <c r="C177" i="22"/>
  <c r="B177" i="22"/>
  <c r="C176" i="22"/>
  <c r="B176" i="22"/>
  <c r="C175" i="22"/>
  <c r="B175" i="22"/>
  <c r="C174" i="22"/>
  <c r="B174" i="22"/>
  <c r="C173" i="22"/>
  <c r="B173" i="22"/>
  <c r="C172" i="22"/>
  <c r="B172" i="22"/>
  <c r="G172" i="22" s="1"/>
  <c r="C333" i="22"/>
  <c r="B333" i="22"/>
  <c r="C171" i="22"/>
  <c r="B171" i="22"/>
  <c r="G171" i="22" s="1"/>
  <c r="C170" i="22"/>
  <c r="B170" i="22"/>
  <c r="G170" i="22" s="1"/>
  <c r="C169" i="22"/>
  <c r="B169" i="22"/>
  <c r="G169" i="22" s="1"/>
  <c r="C168" i="22"/>
  <c r="B168" i="22"/>
  <c r="G168" i="22" s="1"/>
  <c r="C167" i="22"/>
  <c r="B167" i="22"/>
  <c r="G167" i="22" s="1"/>
  <c r="B166" i="22"/>
  <c r="C166" i="22"/>
  <c r="G166" i="22" s="1"/>
  <c r="C165" i="22"/>
  <c r="B165" i="22"/>
  <c r="G165" i="22" s="1"/>
  <c r="C164" i="22"/>
  <c r="B164" i="22"/>
  <c r="G164" i="22" s="1"/>
  <c r="C163" i="22"/>
  <c r="B163" i="22"/>
  <c r="G163" i="22" s="1"/>
  <c r="C162" i="22"/>
  <c r="B162" i="22"/>
  <c r="G162" i="22" s="1"/>
  <c r="C161" i="22"/>
  <c r="B161" i="22"/>
  <c r="G161" i="22" s="1"/>
  <c r="C160" i="22"/>
  <c r="B160" i="22"/>
  <c r="C159" i="22"/>
  <c r="B159" i="22"/>
  <c r="C332" i="22"/>
  <c r="B332" i="22"/>
  <c r="C158" i="22"/>
  <c r="B158" i="22"/>
  <c r="C157" i="22"/>
  <c r="B157" i="22"/>
  <c r="G157" i="22" s="1"/>
  <c r="C156" i="22"/>
  <c r="B156" i="22"/>
  <c r="C155" i="22"/>
  <c r="B155" i="22"/>
  <c r="G155" i="22" s="1"/>
  <c r="C154" i="22"/>
  <c r="B154" i="22"/>
  <c r="C151" i="22"/>
  <c r="B151" i="22"/>
  <c r="G151" i="22" s="1"/>
  <c r="C150" i="22"/>
  <c r="B150" i="22"/>
  <c r="C149" i="22"/>
  <c r="B149" i="22"/>
  <c r="C148" i="22"/>
  <c r="B148" i="22"/>
  <c r="C147" i="22"/>
  <c r="B147" i="22"/>
  <c r="C146" i="22"/>
  <c r="B146" i="22"/>
  <c r="C145" i="22"/>
  <c r="B145" i="22"/>
  <c r="C144" i="22"/>
  <c r="B144" i="22"/>
  <c r="C329" i="22"/>
  <c r="B329" i="22"/>
  <c r="C143" i="22"/>
  <c r="B143" i="22"/>
  <c r="G143" i="22" s="1"/>
  <c r="C142" i="22"/>
  <c r="B142" i="22"/>
  <c r="G142" i="22" s="1"/>
  <c r="C141" i="22"/>
  <c r="B141" i="22"/>
  <c r="G141" i="22" s="1"/>
  <c r="C140" i="22"/>
  <c r="B140" i="22"/>
  <c r="C153" i="22"/>
  <c r="B153" i="22"/>
  <c r="C152" i="22"/>
  <c r="B152" i="22"/>
  <c r="G152" i="22" s="1"/>
  <c r="C139" i="22"/>
  <c r="B139" i="22"/>
  <c r="C138" i="22"/>
  <c r="B138" i="22"/>
  <c r="C137" i="22"/>
  <c r="B137" i="22"/>
  <c r="C136" i="22"/>
  <c r="B136" i="22"/>
  <c r="C135" i="22"/>
  <c r="B135" i="22"/>
  <c r="C134" i="22"/>
  <c r="B134" i="22"/>
  <c r="C133" i="22"/>
  <c r="B133" i="22"/>
  <c r="C132" i="22"/>
  <c r="B132" i="22"/>
  <c r="C131" i="22"/>
  <c r="B131" i="22"/>
  <c r="C130" i="22"/>
  <c r="B130" i="22"/>
  <c r="B129" i="22"/>
  <c r="C129" i="22"/>
  <c r="C128" i="22"/>
  <c r="B128" i="22"/>
  <c r="G128" i="22" s="1"/>
  <c r="C127" i="22"/>
  <c r="B127" i="22"/>
  <c r="G127" i="22" s="1"/>
  <c r="C126" i="22"/>
  <c r="B126" i="22"/>
  <c r="G126" i="22" s="1"/>
  <c r="C125" i="22"/>
  <c r="B125" i="22"/>
  <c r="G125" i="22" s="1"/>
  <c r="C124" i="22"/>
  <c r="B124" i="22"/>
  <c r="C123" i="22"/>
  <c r="B123" i="22"/>
  <c r="C122" i="22"/>
  <c r="B122" i="22"/>
  <c r="C121" i="22"/>
  <c r="B121" i="22"/>
  <c r="C120" i="22"/>
  <c r="B120" i="22"/>
  <c r="C119" i="22"/>
  <c r="B119" i="22"/>
  <c r="C118" i="22"/>
  <c r="B118" i="22"/>
  <c r="C117" i="22"/>
  <c r="B117" i="22"/>
  <c r="C116" i="22"/>
  <c r="B116" i="22"/>
  <c r="G116" i="22" s="1"/>
  <c r="C115" i="22"/>
  <c r="B115" i="22"/>
  <c r="G115" i="22" s="1"/>
  <c r="C114" i="22"/>
  <c r="B114" i="22"/>
  <c r="G114" i="22" s="1"/>
  <c r="C113" i="22"/>
  <c r="B113" i="22"/>
  <c r="G113" i="22" s="1"/>
  <c r="C112" i="22"/>
  <c r="B112" i="22"/>
  <c r="C111" i="22"/>
  <c r="B111" i="22"/>
  <c r="C110" i="22"/>
  <c r="B110" i="22"/>
  <c r="C109" i="22"/>
  <c r="B109" i="22"/>
  <c r="C108" i="22"/>
  <c r="B108" i="22"/>
  <c r="G108" i="22" s="1"/>
  <c r="C107" i="22"/>
  <c r="B107" i="22"/>
  <c r="G107" i="22" s="1"/>
  <c r="C106" i="22"/>
  <c r="B106" i="22"/>
  <c r="G106" i="22" s="1"/>
  <c r="C105" i="22"/>
  <c r="B105" i="22"/>
  <c r="G105" i="22" s="1"/>
  <c r="C104" i="22"/>
  <c r="B104" i="22"/>
  <c r="C103" i="22"/>
  <c r="B103" i="22"/>
  <c r="C102" i="22"/>
  <c r="B102" i="22"/>
  <c r="G102" i="22" s="1"/>
  <c r="C101" i="22"/>
  <c r="B101" i="22"/>
  <c r="C100" i="22"/>
  <c r="B100" i="22"/>
  <c r="C99" i="22"/>
  <c r="B99" i="22"/>
  <c r="G99" i="22" s="1"/>
  <c r="C98" i="22"/>
  <c r="B98" i="22"/>
  <c r="B97" i="22"/>
  <c r="C97" i="22"/>
  <c r="F97" i="22" s="1"/>
  <c r="C96" i="22"/>
  <c r="B96" i="22"/>
  <c r="C95" i="22"/>
  <c r="B95" i="22"/>
  <c r="C94" i="22"/>
  <c r="B94" i="22"/>
  <c r="G94" i="22" s="1"/>
  <c r="C93" i="22"/>
  <c r="B93" i="22"/>
  <c r="G93" i="22" s="1"/>
  <c r="C92" i="22"/>
  <c r="B92" i="22"/>
  <c r="G92" i="22" s="1"/>
  <c r="C91" i="22"/>
  <c r="B91" i="22"/>
  <c r="C90" i="22"/>
  <c r="B90" i="22"/>
  <c r="C88" i="22"/>
  <c r="B88" i="22"/>
  <c r="C87" i="22"/>
  <c r="B87" i="22"/>
  <c r="C86" i="22"/>
  <c r="B86" i="22"/>
  <c r="G86" i="22" s="1"/>
  <c r="C85" i="22"/>
  <c r="B85" i="22"/>
  <c r="G85" i="22" s="1"/>
  <c r="C84" i="22"/>
  <c r="B84" i="22"/>
  <c r="G84" i="22" s="1"/>
  <c r="C330" i="22"/>
  <c r="B330" i="22"/>
  <c r="C83" i="22"/>
  <c r="B83" i="22"/>
  <c r="G83" i="22" s="1"/>
  <c r="C82" i="22"/>
  <c r="B82" i="22"/>
  <c r="C81" i="22"/>
  <c r="B81" i="22"/>
  <c r="C80" i="22"/>
  <c r="B80" i="22"/>
  <c r="C78" i="22"/>
  <c r="B78" i="22"/>
  <c r="C77" i="22"/>
  <c r="B77" i="22"/>
  <c r="G77" i="22" s="1"/>
  <c r="B76" i="22"/>
  <c r="C76" i="22"/>
  <c r="F76" i="22" s="1"/>
  <c r="C89" i="22"/>
  <c r="B89" i="22"/>
  <c r="C75" i="22"/>
  <c r="B75" i="22"/>
  <c r="G75" i="22" s="1"/>
  <c r="C74" i="22"/>
  <c r="B74" i="22"/>
  <c r="C73" i="22"/>
  <c r="B73" i="22"/>
  <c r="C72" i="22"/>
  <c r="B72" i="22"/>
  <c r="C71" i="22"/>
  <c r="B71" i="22"/>
  <c r="C70" i="22"/>
  <c r="B70" i="22"/>
  <c r="G70" i="22" s="1"/>
  <c r="C69" i="22"/>
  <c r="B69" i="22"/>
  <c r="G69" i="22" s="1"/>
  <c r="C68" i="22"/>
  <c r="B68" i="22"/>
  <c r="C67" i="22"/>
  <c r="B67" i="22"/>
  <c r="C66" i="22"/>
  <c r="B66" i="22"/>
  <c r="G66" i="22" s="1"/>
  <c r="C65" i="22"/>
  <c r="B65" i="22"/>
  <c r="G65" i="22" s="1"/>
  <c r="B64" i="22"/>
  <c r="C64" i="22"/>
  <c r="F64" i="22" s="1"/>
  <c r="C63" i="22"/>
  <c r="B63" i="22"/>
  <c r="C61" i="22"/>
  <c r="B61" i="22"/>
  <c r="C60" i="22"/>
  <c r="B60" i="22"/>
  <c r="C79" i="22"/>
  <c r="B79" i="22"/>
  <c r="C59" i="22"/>
  <c r="B59" i="22"/>
  <c r="C58" i="22"/>
  <c r="B58" i="22"/>
  <c r="G58" i="22" s="1"/>
  <c r="C62" i="22"/>
  <c r="B62" i="22"/>
  <c r="C57" i="22"/>
  <c r="B57" i="22"/>
  <c r="G57" i="22" s="1"/>
  <c r="C56" i="22"/>
  <c r="B56" i="22"/>
  <c r="G56" i="22" s="1"/>
  <c r="C55" i="22"/>
  <c r="B55" i="22"/>
  <c r="C54" i="22"/>
  <c r="B54" i="22"/>
  <c r="C53" i="22"/>
  <c r="B53" i="22"/>
  <c r="C52" i="22"/>
  <c r="B52" i="22"/>
  <c r="C51" i="22"/>
  <c r="B51" i="22"/>
  <c r="C50" i="22"/>
  <c r="B50" i="22"/>
  <c r="G50" i="22" s="1"/>
  <c r="C49" i="22"/>
  <c r="B49" i="22"/>
  <c r="G49" i="22" s="1"/>
  <c r="C48" i="22"/>
  <c r="B48" i="22"/>
  <c r="G48" i="22" s="1"/>
  <c r="C47" i="22"/>
  <c r="B47" i="22"/>
  <c r="G47" i="22" s="1"/>
  <c r="C46" i="22"/>
  <c r="B46" i="22"/>
  <c r="C45" i="22"/>
  <c r="B45" i="22"/>
  <c r="G45" i="22" s="1"/>
  <c r="C44" i="22"/>
  <c r="B44" i="22"/>
  <c r="C42" i="22"/>
  <c r="B42" i="22"/>
  <c r="G42" i="22" s="1"/>
  <c r="C41" i="22"/>
  <c r="B41" i="22"/>
  <c r="G41" i="22" s="1"/>
  <c r="C40" i="22"/>
  <c r="B40" i="22"/>
  <c r="G40" i="22" s="1"/>
  <c r="C39" i="22"/>
  <c r="B39" i="22"/>
  <c r="G39" i="22" s="1"/>
  <c r="C38" i="22"/>
  <c r="B38" i="22"/>
  <c r="G38" i="22" s="1"/>
  <c r="C37" i="22"/>
  <c r="B37" i="22"/>
  <c r="G37" i="22" s="1"/>
  <c r="C36" i="22"/>
  <c r="B36" i="22"/>
  <c r="C43" i="22"/>
  <c r="B43" i="22"/>
  <c r="G43" i="22" s="1"/>
  <c r="C35" i="22"/>
  <c r="B35" i="22"/>
  <c r="G35" i="22" s="1"/>
  <c r="C34" i="22"/>
  <c r="B34" i="22"/>
  <c r="G34" i="22" s="1"/>
  <c r="C33" i="22"/>
  <c r="B33" i="22"/>
  <c r="G33" i="22" s="1"/>
  <c r="C32" i="22"/>
  <c r="B32" i="22"/>
  <c r="G32" i="22" s="1"/>
  <c r="C31" i="22"/>
  <c r="B31" i="22"/>
  <c r="G31" i="22" s="1"/>
  <c r="C30" i="22"/>
  <c r="B30" i="22"/>
  <c r="G30" i="22" s="1"/>
  <c r="C29" i="22"/>
  <c r="B29" i="22"/>
  <c r="G29" i="22" s="1"/>
  <c r="C28" i="22"/>
  <c r="B28" i="22"/>
  <c r="G28" i="22" s="1"/>
  <c r="C27" i="22"/>
  <c r="B27" i="22"/>
  <c r="G27" i="22" s="1"/>
  <c r="B26" i="22"/>
  <c r="C26" i="22"/>
  <c r="G26" i="22" s="1"/>
  <c r="C25" i="22"/>
  <c r="B25" i="22"/>
  <c r="G25" i="22" s="1"/>
  <c r="C24" i="22"/>
  <c r="B24" i="22"/>
  <c r="C23" i="22"/>
  <c r="B23" i="22"/>
  <c r="G23" i="22" s="1"/>
  <c r="C22" i="22"/>
  <c r="B22" i="22"/>
  <c r="G22" i="22" s="1"/>
  <c r="C21" i="22"/>
  <c r="B21" i="22"/>
  <c r="C20" i="22"/>
  <c r="B20" i="22"/>
  <c r="G20" i="22" s="1"/>
  <c r="C19" i="22"/>
  <c r="B19" i="22"/>
  <c r="G19" i="22" s="1"/>
  <c r="C18" i="22"/>
  <c r="B18" i="22"/>
  <c r="C17" i="22"/>
  <c r="B17" i="22"/>
  <c r="C16" i="22"/>
  <c r="B16" i="22"/>
  <c r="C15" i="22"/>
  <c r="B15" i="22"/>
  <c r="C14" i="22"/>
  <c r="B14" i="22"/>
  <c r="C13" i="22"/>
  <c r="B13" i="22"/>
  <c r="C12" i="22"/>
  <c r="B12" i="22"/>
  <c r="C11" i="22"/>
  <c r="B11" i="22"/>
  <c r="C10" i="22"/>
  <c r="B10" i="22"/>
  <c r="G10" i="22" s="1"/>
  <c r="C9" i="22"/>
  <c r="B9" i="22"/>
  <c r="C8" i="22"/>
  <c r="B8" i="22"/>
  <c r="C7" i="22"/>
  <c r="B7" i="22"/>
  <c r="G7" i="22" s="1"/>
  <c r="F333" i="22"/>
  <c r="F332" i="22"/>
  <c r="G331" i="22"/>
  <c r="F331" i="22"/>
  <c r="F330" i="22"/>
  <c r="F329" i="22"/>
  <c r="G328" i="22"/>
  <c r="F328" i="22"/>
  <c r="G327" i="22"/>
  <c r="F327" i="22"/>
  <c r="G326" i="22"/>
  <c r="F326" i="22"/>
  <c r="G325" i="22"/>
  <c r="F325" i="22"/>
  <c r="G324" i="22"/>
  <c r="F324" i="22"/>
  <c r="G323" i="22"/>
  <c r="F323" i="22"/>
  <c r="G322" i="22"/>
  <c r="F322" i="22"/>
  <c r="G321" i="22"/>
  <c r="F321" i="22"/>
  <c r="G320" i="22"/>
  <c r="F320" i="22"/>
  <c r="G319" i="22"/>
  <c r="F319" i="22"/>
  <c r="G318" i="22"/>
  <c r="F318" i="22"/>
  <c r="G317" i="22"/>
  <c r="F317" i="22"/>
  <c r="G316" i="22"/>
  <c r="F316" i="22"/>
  <c r="G315" i="22"/>
  <c r="F315" i="22"/>
  <c r="G314" i="22"/>
  <c r="F314" i="22"/>
  <c r="G313" i="22"/>
  <c r="F313" i="22"/>
  <c r="G312" i="22"/>
  <c r="F312" i="22"/>
  <c r="G311" i="22"/>
  <c r="F311" i="22"/>
  <c r="G310" i="22"/>
  <c r="F310" i="22"/>
  <c r="G309" i="22"/>
  <c r="F309" i="22"/>
  <c r="G308" i="22"/>
  <c r="F308" i="22"/>
  <c r="G307" i="22"/>
  <c r="F307" i="22"/>
  <c r="G306" i="22"/>
  <c r="F306" i="22"/>
  <c r="G305" i="22"/>
  <c r="F305" i="22"/>
  <c r="G304" i="22"/>
  <c r="F304" i="22"/>
  <c r="G303" i="22"/>
  <c r="F303" i="22"/>
  <c r="G302" i="22"/>
  <c r="F302" i="22"/>
  <c r="G301" i="22"/>
  <c r="F301" i="22"/>
  <c r="G300" i="22"/>
  <c r="F300" i="22"/>
  <c r="G299" i="22"/>
  <c r="F299" i="22"/>
  <c r="G298" i="22"/>
  <c r="F298" i="22"/>
  <c r="G297" i="22"/>
  <c r="F297" i="22"/>
  <c r="G296" i="22"/>
  <c r="F296" i="22"/>
  <c r="G295" i="22"/>
  <c r="F295" i="22"/>
  <c r="G294" i="22"/>
  <c r="F294" i="22"/>
  <c r="G293" i="22"/>
  <c r="F293" i="22"/>
  <c r="G292" i="22"/>
  <c r="F292" i="22"/>
  <c r="G291" i="22"/>
  <c r="F291" i="22"/>
  <c r="G290" i="22"/>
  <c r="F290" i="22"/>
  <c r="G289" i="22"/>
  <c r="F289" i="22"/>
  <c r="G288" i="22"/>
  <c r="F288" i="22"/>
  <c r="G287" i="22"/>
  <c r="F287" i="22"/>
  <c r="G286" i="22"/>
  <c r="F286" i="22"/>
  <c r="G285" i="22"/>
  <c r="F285" i="22"/>
  <c r="G284" i="22"/>
  <c r="F284" i="22"/>
  <c r="G283" i="22"/>
  <c r="F283" i="22"/>
  <c r="G282" i="22"/>
  <c r="F282" i="22"/>
  <c r="G281" i="22"/>
  <c r="F281" i="22"/>
  <c r="G280" i="22"/>
  <c r="F280" i="22"/>
  <c r="G279" i="22"/>
  <c r="F279" i="22"/>
  <c r="G278" i="22"/>
  <c r="F278" i="22"/>
  <c r="G277" i="22"/>
  <c r="F277" i="22"/>
  <c r="G276" i="22"/>
  <c r="F276" i="22"/>
  <c r="G275" i="22"/>
  <c r="F275" i="22"/>
  <c r="G274" i="22"/>
  <c r="F274" i="22"/>
  <c r="G273" i="22"/>
  <c r="F273" i="22"/>
  <c r="G272" i="22"/>
  <c r="F272" i="22"/>
  <c r="G271" i="22"/>
  <c r="F271" i="22"/>
  <c r="G270" i="22"/>
  <c r="F270" i="22"/>
  <c r="G269" i="22"/>
  <c r="F269" i="22"/>
  <c r="G268" i="22"/>
  <c r="F268" i="22"/>
  <c r="G267" i="22"/>
  <c r="F267" i="22"/>
  <c r="G266" i="22"/>
  <c r="F266" i="22"/>
  <c r="G265" i="22"/>
  <c r="F265" i="22"/>
  <c r="G264" i="22"/>
  <c r="F264" i="22"/>
  <c r="G263" i="22"/>
  <c r="F263" i="22"/>
  <c r="G262" i="22"/>
  <c r="F262" i="22"/>
  <c r="G261" i="22"/>
  <c r="F261" i="22"/>
  <c r="G260" i="22"/>
  <c r="F260" i="22"/>
  <c r="G259" i="22"/>
  <c r="F259" i="22"/>
  <c r="G258" i="22"/>
  <c r="F258" i="22"/>
  <c r="G257" i="22"/>
  <c r="F257" i="22"/>
  <c r="G256" i="22"/>
  <c r="F256" i="22"/>
  <c r="G255" i="22"/>
  <c r="F255" i="22"/>
  <c r="G254" i="22"/>
  <c r="F254" i="22"/>
  <c r="G253" i="22"/>
  <c r="F253" i="22"/>
  <c r="E253" i="22" s="1"/>
  <c r="G252" i="22"/>
  <c r="F252" i="22"/>
  <c r="G251" i="22"/>
  <c r="F251" i="22"/>
  <c r="G250" i="22"/>
  <c r="F250" i="22"/>
  <c r="G249" i="22"/>
  <c r="F249" i="22"/>
  <c r="G248" i="22"/>
  <c r="F248" i="22"/>
  <c r="G247" i="22"/>
  <c r="F247" i="22"/>
  <c r="G246" i="22"/>
  <c r="F246" i="22"/>
  <c r="G245" i="22"/>
  <c r="F245" i="22"/>
  <c r="G244" i="22"/>
  <c r="F244" i="22"/>
  <c r="G243" i="22"/>
  <c r="F243" i="22"/>
  <c r="G242" i="22"/>
  <c r="F242" i="22"/>
  <c r="G241" i="22"/>
  <c r="F241" i="22"/>
  <c r="G240" i="22"/>
  <c r="F240" i="22"/>
  <c r="G239" i="22"/>
  <c r="F239" i="22"/>
  <c r="G238" i="22"/>
  <c r="F238" i="22"/>
  <c r="G237" i="22"/>
  <c r="F237" i="22"/>
  <c r="G236" i="22"/>
  <c r="F236" i="22"/>
  <c r="G235" i="22"/>
  <c r="F235" i="22"/>
  <c r="G234" i="22"/>
  <c r="F234" i="22"/>
  <c r="G233" i="22"/>
  <c r="F233" i="22"/>
  <c r="G232" i="22"/>
  <c r="F232" i="22"/>
  <c r="G231" i="22"/>
  <c r="F231" i="22"/>
  <c r="G230" i="22"/>
  <c r="F230" i="22"/>
  <c r="G229" i="22"/>
  <c r="F229" i="22"/>
  <c r="G228" i="22"/>
  <c r="F228" i="22"/>
  <c r="G227" i="22"/>
  <c r="F227" i="22"/>
  <c r="G226" i="22"/>
  <c r="F226" i="22"/>
  <c r="G225" i="22"/>
  <c r="F225" i="22"/>
  <c r="G224" i="22"/>
  <c r="F224" i="22"/>
  <c r="G223" i="22"/>
  <c r="F223" i="22"/>
  <c r="G222" i="22"/>
  <c r="F222" i="22"/>
  <c r="G221" i="22"/>
  <c r="F221" i="22"/>
  <c r="G220" i="22"/>
  <c r="F220" i="22"/>
  <c r="G219" i="22"/>
  <c r="F219" i="22"/>
  <c r="G218" i="22"/>
  <c r="F218" i="22"/>
  <c r="G217" i="22"/>
  <c r="F217" i="22"/>
  <c r="G216" i="22"/>
  <c r="F216" i="22"/>
  <c r="G215" i="22"/>
  <c r="F215" i="22"/>
  <c r="G214" i="22"/>
  <c r="F214" i="22"/>
  <c r="G213" i="22"/>
  <c r="F213" i="22"/>
  <c r="G212" i="22"/>
  <c r="F212" i="22"/>
  <c r="G211" i="22"/>
  <c r="F211" i="22"/>
  <c r="G210" i="22"/>
  <c r="F210" i="22"/>
  <c r="G209" i="22"/>
  <c r="F209" i="22"/>
  <c r="G208" i="22"/>
  <c r="F208" i="22"/>
  <c r="G207" i="22"/>
  <c r="F207" i="22"/>
  <c r="G206" i="22"/>
  <c r="F206" i="22"/>
  <c r="G205" i="22"/>
  <c r="F205" i="22"/>
  <c r="G204" i="22"/>
  <c r="F204" i="22"/>
  <c r="G203" i="22"/>
  <c r="F203" i="22"/>
  <c r="G202" i="22"/>
  <c r="F202" i="22"/>
  <c r="G201" i="22"/>
  <c r="F201" i="22"/>
  <c r="G200" i="22"/>
  <c r="F200" i="22"/>
  <c r="G199" i="22"/>
  <c r="F199" i="22"/>
  <c r="G198" i="22"/>
  <c r="F198" i="22"/>
  <c r="G197" i="22"/>
  <c r="F197" i="22"/>
  <c r="G196" i="22"/>
  <c r="F196" i="22"/>
  <c r="G195" i="22"/>
  <c r="F195" i="22"/>
  <c r="G194" i="22"/>
  <c r="F194" i="22"/>
  <c r="G193" i="22"/>
  <c r="F193" i="22"/>
  <c r="G192" i="22"/>
  <c r="F192" i="22"/>
  <c r="G191" i="22"/>
  <c r="F191" i="22"/>
  <c r="G190" i="22"/>
  <c r="F190" i="22"/>
  <c r="G189" i="22"/>
  <c r="F189" i="22"/>
  <c r="G188" i="22"/>
  <c r="F188" i="22"/>
  <c r="G187" i="22"/>
  <c r="F187" i="22"/>
  <c r="G186" i="22"/>
  <c r="F186" i="22"/>
  <c r="G185" i="22"/>
  <c r="F185" i="22"/>
  <c r="F184" i="22"/>
  <c r="F183" i="22"/>
  <c r="F182" i="22"/>
  <c r="F181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5" i="22"/>
  <c r="F164" i="22"/>
  <c r="F163" i="22"/>
  <c r="F162" i="22"/>
  <c r="F161" i="22"/>
  <c r="F160" i="22"/>
  <c r="F159" i="22"/>
  <c r="F158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G136" i="22"/>
  <c r="F136" i="22"/>
  <c r="G135" i="22"/>
  <c r="F135" i="22"/>
  <c r="G134" i="22"/>
  <c r="F134" i="22"/>
  <c r="G133" i="22"/>
  <c r="F133" i="22"/>
  <c r="G132" i="22"/>
  <c r="F132" i="22"/>
  <c r="G131" i="22"/>
  <c r="F131" i="22"/>
  <c r="F130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1" i="22"/>
  <c r="F98" i="22"/>
  <c r="F96" i="22"/>
  <c r="F91" i="22"/>
  <c r="F90" i="22"/>
  <c r="F88" i="22"/>
  <c r="F87" i="22"/>
  <c r="F82" i="22"/>
  <c r="F81" i="22"/>
  <c r="F80" i="22"/>
  <c r="F79" i="22"/>
  <c r="G78" i="22"/>
  <c r="F74" i="22"/>
  <c r="F73" i="22"/>
  <c r="F72" i="22"/>
  <c r="F68" i="22"/>
  <c r="F67" i="22"/>
  <c r="G64" i="22"/>
  <c r="F63" i="22"/>
  <c r="F62" i="22"/>
  <c r="F61" i="22"/>
  <c r="F60" i="22"/>
  <c r="F59" i="22"/>
  <c r="G55" i="22"/>
  <c r="F54" i="22"/>
  <c r="F53" i="22"/>
  <c r="F52" i="22"/>
  <c r="F51" i="22"/>
  <c r="F45" i="22"/>
  <c r="F44" i="22"/>
  <c r="F43" i="22"/>
  <c r="F41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5" i="22"/>
  <c r="F24" i="22"/>
  <c r="F23" i="22"/>
  <c r="F22" i="22"/>
  <c r="F21" i="22"/>
  <c r="F20" i="22"/>
  <c r="F19" i="22"/>
  <c r="F18" i="22"/>
  <c r="F17" i="22"/>
  <c r="F16" i="22"/>
  <c r="F15" i="22"/>
  <c r="F12" i="22"/>
  <c r="C6" i="22"/>
  <c r="C334" i="22" s="1"/>
  <c r="B6" i="22"/>
  <c r="E105" i="22" l="1"/>
  <c r="B334" i="22"/>
  <c r="E25" i="22"/>
  <c r="E125" i="22"/>
  <c r="F26" i="22"/>
  <c r="G76" i="22"/>
  <c r="E76" i="22" s="1"/>
  <c r="E185" i="22"/>
  <c r="E186" i="22"/>
  <c r="E187" i="22"/>
  <c r="E189" i="22"/>
  <c r="E190" i="22"/>
  <c r="E191" i="22"/>
  <c r="E195" i="22"/>
  <c r="E197" i="22"/>
  <c r="E201" i="22"/>
  <c r="E203" i="22"/>
  <c r="E205" i="22"/>
  <c r="E206" i="22"/>
  <c r="E245" i="22"/>
  <c r="E247" i="22"/>
  <c r="E249" i="22"/>
  <c r="E251" i="22"/>
  <c r="E252" i="22"/>
  <c r="E305" i="22"/>
  <c r="E141" i="22"/>
  <c r="E151" i="22"/>
  <c r="E45" i="22"/>
  <c r="E113" i="22"/>
  <c r="E155" i="22"/>
  <c r="E179" i="22"/>
  <c r="E19" i="22"/>
  <c r="E39" i="22"/>
  <c r="E161" i="22"/>
  <c r="E207" i="22"/>
  <c r="E287" i="22"/>
  <c r="E299" i="22"/>
  <c r="E301" i="22"/>
  <c r="E303" i="22"/>
  <c r="E323" i="22"/>
  <c r="E327" i="22"/>
  <c r="E331" i="22"/>
  <c r="F7" i="22"/>
  <c r="E7" i="22" s="1"/>
  <c r="F8" i="22"/>
  <c r="F9" i="22"/>
  <c r="F10" i="22"/>
  <c r="G11" i="22"/>
  <c r="G12" i="22"/>
  <c r="E12" i="22" s="1"/>
  <c r="G13" i="22"/>
  <c r="F14" i="22"/>
  <c r="F42" i="22"/>
  <c r="F103" i="22"/>
  <c r="F157" i="22"/>
  <c r="E157" i="22" s="1"/>
  <c r="F180" i="22"/>
  <c r="G6" i="22"/>
  <c r="F6" i="22"/>
  <c r="G8" i="22"/>
  <c r="F11" i="22"/>
  <c r="F13" i="22"/>
  <c r="E13" i="22" s="1"/>
  <c r="G15" i="22"/>
  <c r="E15" i="22" s="1"/>
  <c r="G16" i="22"/>
  <c r="E16" i="22" s="1"/>
  <c r="E29" i="22"/>
  <c r="E31" i="22"/>
  <c r="E35" i="22"/>
  <c r="E213" i="22"/>
  <c r="E215" i="22"/>
  <c r="E217" i="22"/>
  <c r="E223" i="22"/>
  <c r="E224" i="22"/>
  <c r="E225" i="22"/>
  <c r="E227" i="22"/>
  <c r="E229" i="22"/>
  <c r="E231" i="22"/>
  <c r="E233" i="22"/>
  <c r="E235" i="22"/>
  <c r="E237" i="22"/>
  <c r="E239" i="22"/>
  <c r="E241" i="22"/>
  <c r="E243" i="22"/>
  <c r="E283" i="22"/>
  <c r="E285" i="22"/>
  <c r="E286" i="22"/>
  <c r="E319" i="22"/>
  <c r="E321" i="22"/>
  <c r="E322" i="22"/>
  <c r="G14" i="22"/>
  <c r="G21" i="22"/>
  <c r="G24" i="22"/>
  <c r="E24" i="22" s="1"/>
  <c r="G44" i="22"/>
  <c r="E44" i="22" s="1"/>
  <c r="G46" i="22"/>
  <c r="F46" i="22"/>
  <c r="F47" i="22"/>
  <c r="E47" i="22" s="1"/>
  <c r="F48" i="22"/>
  <c r="E48" i="22" s="1"/>
  <c r="F49" i="22"/>
  <c r="E49" i="22" s="1"/>
  <c r="F50" i="22"/>
  <c r="G51" i="22"/>
  <c r="E51" i="22" s="1"/>
  <c r="G52" i="22"/>
  <c r="E52" i="22" s="1"/>
  <c r="G53" i="22"/>
  <c r="E53" i="22" s="1"/>
  <c r="G54" i="22"/>
  <c r="F55" i="22"/>
  <c r="E55" i="22" s="1"/>
  <c r="F56" i="22"/>
  <c r="E56" i="22" s="1"/>
  <c r="F57" i="22"/>
  <c r="E57" i="22" s="1"/>
  <c r="G62" i="22"/>
  <c r="F58" i="22"/>
  <c r="E58" i="22" s="1"/>
  <c r="G59" i="22"/>
  <c r="E59" i="22" s="1"/>
  <c r="G79" i="22"/>
  <c r="E79" i="22" s="1"/>
  <c r="G60" i="22"/>
  <c r="E60" i="22" s="1"/>
  <c r="G61" i="22"/>
  <c r="E61" i="22" s="1"/>
  <c r="G63" i="22"/>
  <c r="E63" i="22" s="1"/>
  <c r="F65" i="22"/>
  <c r="F66" i="22"/>
  <c r="E66" i="22" s="1"/>
  <c r="G67" i="22"/>
  <c r="E67" i="22" s="1"/>
  <c r="G68" i="22"/>
  <c r="F69" i="22"/>
  <c r="E69" i="22" s="1"/>
  <c r="F70" i="22"/>
  <c r="E70" i="22" s="1"/>
  <c r="G72" i="22"/>
  <c r="E72" i="22" s="1"/>
  <c r="G73" i="22"/>
  <c r="E73" i="22" s="1"/>
  <c r="G74" i="22"/>
  <c r="F75" i="22"/>
  <c r="E75" i="22" s="1"/>
  <c r="F89" i="22"/>
  <c r="F77" i="22"/>
  <c r="E77" i="22" s="1"/>
  <c r="F78" i="22"/>
  <c r="G80" i="22"/>
  <c r="G81" i="22"/>
  <c r="E81" i="22" s="1"/>
  <c r="G82" i="22"/>
  <c r="E82" i="22" s="1"/>
  <c r="F83" i="22"/>
  <c r="E83" i="22" s="1"/>
  <c r="G330" i="22"/>
  <c r="F84" i="22"/>
  <c r="F85" i="22"/>
  <c r="F86" i="22"/>
  <c r="E86" i="22" s="1"/>
  <c r="G87" i="22"/>
  <c r="E87" i="22" s="1"/>
  <c r="G88" i="22"/>
  <c r="E88" i="22" s="1"/>
  <c r="G90" i="22"/>
  <c r="G91" i="22"/>
  <c r="E91" i="22" s="1"/>
  <c r="F92" i="22"/>
  <c r="E92" i="22" s="1"/>
  <c r="F93" i="22"/>
  <c r="E93" i="22" s="1"/>
  <c r="F94" i="22"/>
  <c r="G96" i="22"/>
  <c r="E96" i="22" s="1"/>
  <c r="G97" i="22"/>
  <c r="E97" i="22" s="1"/>
  <c r="G98" i="22"/>
  <c r="E98" i="22" s="1"/>
  <c r="F99" i="22"/>
  <c r="E99" i="22" s="1"/>
  <c r="G101" i="22"/>
  <c r="E101" i="22" s="1"/>
  <c r="F102" i="22"/>
  <c r="G103" i="22"/>
  <c r="G104" i="22"/>
  <c r="E104" i="22" s="1"/>
  <c r="G109" i="22"/>
  <c r="E109" i="22" s="1"/>
  <c r="G110" i="22"/>
  <c r="G111" i="22"/>
  <c r="E111" i="22" s="1"/>
  <c r="G112" i="22"/>
  <c r="E112" i="22" s="1"/>
  <c r="G117" i="22"/>
  <c r="E117" i="22" s="1"/>
  <c r="G118" i="22"/>
  <c r="G119" i="22"/>
  <c r="E119" i="22" s="1"/>
  <c r="G120" i="22"/>
  <c r="E120" i="22" s="1"/>
  <c r="G121" i="22"/>
  <c r="E121" i="22" s="1"/>
  <c r="G122" i="22"/>
  <c r="G123" i="22"/>
  <c r="E123" i="22" s="1"/>
  <c r="G124" i="22"/>
  <c r="E124" i="22" s="1"/>
  <c r="G137" i="22"/>
  <c r="E137" i="22" s="1"/>
  <c r="G138" i="22"/>
  <c r="G139" i="22"/>
  <c r="E139" i="22" s="1"/>
  <c r="G153" i="22"/>
  <c r="E153" i="22" s="1"/>
  <c r="G140" i="22"/>
  <c r="G329" i="22"/>
  <c r="E329" i="22" s="1"/>
  <c r="G145" i="22"/>
  <c r="E145" i="22" s="1"/>
  <c r="G146" i="22"/>
  <c r="E146" i="22" s="1"/>
  <c r="G147" i="22"/>
  <c r="E147" i="22" s="1"/>
  <c r="G148" i="22"/>
  <c r="G149" i="22"/>
  <c r="E149" i="22" s="1"/>
  <c r="G150" i="22"/>
  <c r="E150" i="22" s="1"/>
  <c r="G154" i="22"/>
  <c r="G158" i="22"/>
  <c r="G332" i="22"/>
  <c r="E332" i="22" s="1"/>
  <c r="G159" i="22"/>
  <c r="E159" i="22" s="1"/>
  <c r="G160" i="22"/>
  <c r="E160" i="22" s="1"/>
  <c r="F166" i="22"/>
  <c r="G333" i="22"/>
  <c r="E333" i="22" s="1"/>
  <c r="G173" i="22"/>
  <c r="E173" i="22" s="1"/>
  <c r="G174" i="22"/>
  <c r="G175" i="22"/>
  <c r="E175" i="22" s="1"/>
  <c r="G176" i="22"/>
  <c r="E176" i="22" s="1"/>
  <c r="G177" i="22"/>
  <c r="E177" i="22" s="1"/>
  <c r="G178" i="22"/>
  <c r="E178" i="22" s="1"/>
  <c r="G183" i="22"/>
  <c r="E183" i="22" s="1"/>
  <c r="G184" i="22"/>
  <c r="E184" i="22" s="1"/>
  <c r="E23" i="22"/>
  <c r="E27" i="22"/>
  <c r="E37" i="22"/>
  <c r="E41" i="22"/>
  <c r="E65" i="22"/>
  <c r="G71" i="22"/>
  <c r="F71" i="22"/>
  <c r="E85" i="22"/>
  <c r="G95" i="22"/>
  <c r="F95" i="22"/>
  <c r="G100" i="22"/>
  <c r="F100" i="22"/>
  <c r="G129" i="22"/>
  <c r="F129" i="22"/>
  <c r="E43" i="22"/>
  <c r="E107" i="22"/>
  <c r="E115" i="22"/>
  <c r="E127" i="22"/>
  <c r="E131" i="22"/>
  <c r="E133" i="22"/>
  <c r="E135" i="22"/>
  <c r="E143" i="22"/>
  <c r="E163" i="22"/>
  <c r="E165" i="22"/>
  <c r="E167" i="22"/>
  <c r="E169" i="22"/>
  <c r="E171" i="22"/>
  <c r="E181" i="22"/>
  <c r="E209" i="22"/>
  <c r="E210" i="22"/>
  <c r="E211" i="22"/>
  <c r="E255" i="22"/>
  <c r="E256" i="22"/>
  <c r="E257" i="22"/>
  <c r="E259" i="22"/>
  <c r="E260" i="22"/>
  <c r="E261" i="22"/>
  <c r="E263" i="22"/>
  <c r="E264" i="22"/>
  <c r="E265" i="22"/>
  <c r="E267" i="22"/>
  <c r="E268" i="22"/>
  <c r="E269" i="22"/>
  <c r="E271" i="22"/>
  <c r="E272" i="22"/>
  <c r="E273" i="22"/>
  <c r="E274" i="22"/>
  <c r="E275" i="22"/>
  <c r="E277" i="22"/>
  <c r="E279" i="22"/>
  <c r="E281" i="22"/>
  <c r="E289" i="22"/>
  <c r="E291" i="22"/>
  <c r="E293" i="22"/>
  <c r="E294" i="22"/>
  <c r="E295" i="22"/>
  <c r="E297" i="22"/>
  <c r="E306" i="22"/>
  <c r="E307" i="22"/>
  <c r="E309" i="22"/>
  <c r="E310" i="22"/>
  <c r="E311" i="22"/>
  <c r="E313" i="22"/>
  <c r="E315" i="22"/>
  <c r="E318" i="22"/>
  <c r="E325" i="22"/>
  <c r="E326" i="22"/>
  <c r="G17" i="22"/>
  <c r="E17" i="22" s="1"/>
  <c r="G18" i="22"/>
  <c r="G36" i="22"/>
  <c r="G89" i="22"/>
  <c r="E103" i="22"/>
  <c r="G130" i="22"/>
  <c r="G144" i="22"/>
  <c r="E144" i="22" s="1"/>
  <c r="G156" i="22"/>
  <c r="E156" i="22" s="1"/>
  <c r="E328" i="22"/>
  <c r="E320" i="22"/>
  <c r="E317" i="22"/>
  <c r="E316" i="22"/>
  <c r="E314" i="22"/>
  <c r="E312" i="22"/>
  <c r="E308" i="22"/>
  <c r="E304" i="22"/>
  <c r="E302" i="22"/>
  <c r="E300" i="22"/>
  <c r="E298" i="22"/>
  <c r="E296" i="22"/>
  <c r="E292" i="22"/>
  <c r="E324" i="22"/>
  <c r="E290" i="22"/>
  <c r="E288" i="22"/>
  <c r="E284" i="22"/>
  <c r="E282" i="22"/>
  <c r="E280" i="22"/>
  <c r="E278" i="22"/>
  <c r="E276" i="22"/>
  <c r="E270" i="22"/>
  <c r="E266" i="22"/>
  <c r="E262" i="22"/>
  <c r="E258" i="22"/>
  <c r="E254" i="22"/>
  <c r="E250" i="22"/>
  <c r="E248" i="22"/>
  <c r="E246" i="22"/>
  <c r="E244" i="22"/>
  <c r="E242" i="22"/>
  <c r="E240" i="22"/>
  <c r="E238" i="22"/>
  <c r="E236" i="22"/>
  <c r="E234" i="22"/>
  <c r="E232" i="22"/>
  <c r="E230" i="22"/>
  <c r="E228" i="22"/>
  <c r="E226" i="22"/>
  <c r="E222" i="22"/>
  <c r="E221" i="22"/>
  <c r="E220" i="22"/>
  <c r="E219" i="22"/>
  <c r="E218" i="22"/>
  <c r="E216" i="22"/>
  <c r="E214" i="22"/>
  <c r="E212" i="22"/>
  <c r="E204" i="22"/>
  <c r="E202" i="22"/>
  <c r="E208" i="22"/>
  <c r="E200" i="22"/>
  <c r="E199" i="22"/>
  <c r="E198" i="22"/>
  <c r="E196" i="22"/>
  <c r="E194" i="22"/>
  <c r="E193" i="22"/>
  <c r="E192" i="22"/>
  <c r="E188" i="22"/>
  <c r="E182" i="22"/>
  <c r="G180" i="22"/>
  <c r="E174" i="22"/>
  <c r="E172" i="22"/>
  <c r="E170" i="22"/>
  <c r="E168" i="22"/>
  <c r="E166" i="22"/>
  <c r="E164" i="22"/>
  <c r="E162" i="22"/>
  <c r="E158" i="22"/>
  <c r="E154" i="22"/>
  <c r="E148" i="22"/>
  <c r="E142" i="22"/>
  <c r="E140" i="22"/>
  <c r="E152" i="22"/>
  <c r="E138" i="22"/>
  <c r="E136" i="22"/>
  <c r="E134" i="22"/>
  <c r="E132" i="22"/>
  <c r="E130" i="22"/>
  <c r="E128" i="22"/>
  <c r="E126" i="22"/>
  <c r="E122" i="22"/>
  <c r="E118" i="22"/>
  <c r="E116" i="22"/>
  <c r="E114" i="22"/>
  <c r="E110" i="22"/>
  <c r="E108" i="22"/>
  <c r="E106" i="22"/>
  <c r="E102" i="22"/>
  <c r="E94" i="22"/>
  <c r="E90" i="22"/>
  <c r="E84" i="22"/>
  <c r="E330" i="22"/>
  <c r="E80" i="22"/>
  <c r="E78" i="22"/>
  <c r="E74" i="22"/>
  <c r="E68" i="22"/>
  <c r="E64" i="22"/>
  <c r="E62" i="22"/>
  <c r="E54" i="22"/>
  <c r="E50" i="22"/>
  <c r="E46" i="22"/>
  <c r="E42" i="22"/>
  <c r="E38" i="22"/>
  <c r="E36" i="22"/>
  <c r="E34" i="22"/>
  <c r="E33" i="22"/>
  <c r="E32" i="22"/>
  <c r="E30" i="22"/>
  <c r="E28" i="22"/>
  <c r="E26" i="22"/>
  <c r="E22" i="22"/>
  <c r="E21" i="22"/>
  <c r="E20" i="22"/>
  <c r="E18" i="22"/>
  <c r="E10" i="22"/>
  <c r="G9" i="22"/>
  <c r="E8" i="22"/>
  <c r="E9" i="22" l="1"/>
  <c r="E11" i="22"/>
  <c r="E6" i="22"/>
  <c r="E14" i="22"/>
  <c r="E129" i="22"/>
  <c r="E100" i="22"/>
  <c r="E95" i="22"/>
  <c r="E71" i="22"/>
  <c r="E180" i="22"/>
  <c r="E89" i="22"/>
  <c r="G334" i="22"/>
  <c r="F40" i="22" l="1"/>
  <c r="F334" i="22" s="1"/>
  <c r="E40" i="22" l="1"/>
  <c r="E334" i="22" s="1"/>
</calcChain>
</file>

<file path=xl/sharedStrings.xml><?xml version="1.0" encoding="utf-8"?>
<sst xmlns="http://schemas.openxmlformats.org/spreadsheetml/2006/main" count="342" uniqueCount="342">
  <si>
    <t>Адрес</t>
  </si>
  <si>
    <t>Оплата</t>
  </si>
  <si>
    <t>ул. Бехтерева, д.   1</t>
  </si>
  <si>
    <t>ул. Бехтерева, д.   3</t>
  </si>
  <si>
    <t>ул. Бехтерева, д.   5</t>
  </si>
  <si>
    <t>ул. Бехтерева, д.   8</t>
  </si>
  <si>
    <t>ул. Бехтерева, д.  10</t>
  </si>
  <si>
    <t>ул. Вокзальная, д. 106</t>
  </si>
  <si>
    <t>ул. Вокзальная, д. 108</t>
  </si>
  <si>
    <t>ул. Вокзальная, д. 110</t>
  </si>
  <si>
    <t>ул. Вокзальная, д. 112</t>
  </si>
  <si>
    <t>ул. Вокзальная, д. 114</t>
  </si>
  <si>
    <t>ул. Вокзальная, д. 116</t>
  </si>
  <si>
    <t>ул. Вокзальная, д. 118</t>
  </si>
  <si>
    <t>ул. Вокзальная, д. 122</t>
  </si>
  <si>
    <t>ул. Вокзальная, д. 124</t>
  </si>
  <si>
    <t>ул. Вокзальная, д. 126</t>
  </si>
  <si>
    <t>ул. Вокзальная, д. 128</t>
  </si>
  <si>
    <t>ул. Вокзальная, д. 130</t>
  </si>
  <si>
    <t>ул. Вокзальная, д. 132</t>
  </si>
  <si>
    <t>ул. Вокзальная, д. 136</t>
  </si>
  <si>
    <t>ул. Вокзальная, д. 138</t>
  </si>
  <si>
    <t>ул. Вокзальная, д. 140</t>
  </si>
  <si>
    <t>ул. Вокзальная, д. 142</t>
  </si>
  <si>
    <t>ул. Герцена, д.  23</t>
  </si>
  <si>
    <t>ул. Герцена, д.  25</t>
  </si>
  <si>
    <t>ул. Герцена, д.  27</t>
  </si>
  <si>
    <t>ул. Герцена, д.  31</t>
  </si>
  <si>
    <t>ул. Герцена, д.  33</t>
  </si>
  <si>
    <t>ул. Герцена, д.  35</t>
  </si>
  <si>
    <t>ул. Герцена, д.  37</t>
  </si>
  <si>
    <t>ул. Герцена, д.  39</t>
  </si>
  <si>
    <t>пл. Горького, д.   4</t>
  </si>
  <si>
    <t>ул. Казакова, д.   1</t>
  </si>
  <si>
    <t>ул. Казакова, д.   3</t>
  </si>
  <si>
    <t>ул. Казакова, д.   4</t>
  </si>
  <si>
    <t>ул. Казакова, д.   5</t>
  </si>
  <si>
    <t>ул. Казакова, д.   6</t>
  </si>
  <si>
    <t>ул. Казакова, д.   7</t>
  </si>
  <si>
    <t>ул. Казакова, д.   8</t>
  </si>
  <si>
    <t>ул. Казакова, д.  10</t>
  </si>
  <si>
    <t>ул. Казакова, д.  12</t>
  </si>
  <si>
    <t>пр. Карла Маркса, д.   3</t>
  </si>
  <si>
    <t>пр. Карла Маркса, д.   5</t>
  </si>
  <si>
    <t>пр. Карла Маркса, д.   7</t>
  </si>
  <si>
    <t>пр. Карла Маркса, д.   9</t>
  </si>
  <si>
    <t>пр. Карла Маркса, д.  10</t>
  </si>
  <si>
    <t>пр. Карла Маркса, д.   6</t>
  </si>
  <si>
    <t>пр. Карла Маркса, д.  12</t>
  </si>
  <si>
    <t>пр. Карла Маркса, д.  13</t>
  </si>
  <si>
    <t>пр. Карла Маркса, д.  14</t>
  </si>
  <si>
    <t>пр. Карла Маркса, д.  15</t>
  </si>
  <si>
    <t>пр. Карла Маркса, д.  16</t>
  </si>
  <si>
    <t>пр. Карла Маркса, д.  17</t>
  </si>
  <si>
    <t>пр. Карла Маркса, д.  18</t>
  </si>
  <si>
    <t>пр. Карла Маркса, д.  20</t>
  </si>
  <si>
    <t>пр. Карла Маркса, д.  22</t>
  </si>
  <si>
    <t>пр. Карла Маркса, д.  23</t>
  </si>
  <si>
    <t>пр. Карла Маркса, д.  24</t>
  </si>
  <si>
    <t>пр. Карла Маркса, д.  25</t>
  </si>
  <si>
    <t>пр. Карла Маркса, д.  29</t>
  </si>
  <si>
    <t>пр. Карла Маркса, д.  30</t>
  </si>
  <si>
    <t>пр. Карла Маркса, д.  32</t>
  </si>
  <si>
    <t>пр. Карла Маркса, д.  34</t>
  </si>
  <si>
    <t>пр. Карла Маркса, д.  36</t>
  </si>
  <si>
    <t>пр. Карла Маркса, д.  37</t>
  </si>
  <si>
    <t>пр. Карла Маркса, д.  38</t>
  </si>
  <si>
    <t>пр. Карла Маркса, д.  40</t>
  </si>
  <si>
    <t>пр. Карла Маркса, д.  42</t>
  </si>
  <si>
    <t>ул. Комсомольская, д.   2</t>
  </si>
  <si>
    <t>ул. Комсомольская, д.   4</t>
  </si>
  <si>
    <t>ул. Комсомольская, д.   8</t>
  </si>
  <si>
    <t>ул. Комсомольская, д.  10</t>
  </si>
  <si>
    <t>ул. Комсомольская, д.  12</t>
  </si>
  <si>
    <t>ул. Комсомольская, д.  14</t>
  </si>
  <si>
    <t>ул. Комсомольская, д.  18</t>
  </si>
  <si>
    <t>ул. Комсомольская, д.  20</t>
  </si>
  <si>
    <t>ул. Комсомольская, д.  22</t>
  </si>
  <si>
    <t>ул. Комсомольская, д.  28</t>
  </si>
  <si>
    <t>ул. Комсомольская, д.  36</t>
  </si>
  <si>
    <t>ул. Комсомольская, д.  38</t>
  </si>
  <si>
    <t>ул. Комсомольская, д.  40</t>
  </si>
  <si>
    <t>пр. Ленина, д.   1</t>
  </si>
  <si>
    <t>пр. Ленина, д.   3</t>
  </si>
  <si>
    <t>пр. Ленина, д.   4</t>
  </si>
  <si>
    <t>пр. Ленина, д.   5</t>
  </si>
  <si>
    <t>пр. Ленина, д.   6</t>
  </si>
  <si>
    <t>пр. Ленина, д.   7</t>
  </si>
  <si>
    <t>пр. Ленина, д.   8</t>
  </si>
  <si>
    <t>пр. Ленина, д.   9</t>
  </si>
  <si>
    <t>пр. Ленина, д.  10</t>
  </si>
  <si>
    <t>пр. Ленина, д.  15</t>
  </si>
  <si>
    <t>пр. Ленина, д.  17</t>
  </si>
  <si>
    <t>пр. Ленина, д.  19</t>
  </si>
  <si>
    <t>пр. Ленина, д.  21</t>
  </si>
  <si>
    <t>пр. Ленина, д.  25</t>
  </si>
  <si>
    <t>пр. Ленина, д.  28</t>
  </si>
  <si>
    <t>ул. Менделеева, д.   1</t>
  </si>
  <si>
    <t>ул. Менделеева, д.   3</t>
  </si>
  <si>
    <t>ул. Менделеева, д.   4</t>
  </si>
  <si>
    <t>ул. Менделеева, д.   5</t>
  </si>
  <si>
    <t>ул. Менделеева, д.   6</t>
  </si>
  <si>
    <t>ул. Менделеева, д.   9</t>
  </si>
  <si>
    <t>ул. Менделеева, д.  10</t>
  </si>
  <si>
    <t>ул. Менделеева, д.  15</t>
  </si>
  <si>
    <t>ул. Менделеева, д.  17</t>
  </si>
  <si>
    <t>ул. Менделеева, д.  19</t>
  </si>
  <si>
    <t>ул. Менделеева, д.  21</t>
  </si>
  <si>
    <t>ул. Менделеева, д.  23</t>
  </si>
  <si>
    <t>ул. Менделеева, д.  25</t>
  </si>
  <si>
    <t>ул. Московская, д.   2</t>
  </si>
  <si>
    <t>ул. Московская, д.   4</t>
  </si>
  <si>
    <t>ул. Московская, д.   6</t>
  </si>
  <si>
    <t>ул. Московская, д.   8</t>
  </si>
  <si>
    <t>ул. Московская, д.  11</t>
  </si>
  <si>
    <t>ул. Московская, д.  12</t>
  </si>
  <si>
    <t>ул. Московская, д.  13</t>
  </si>
  <si>
    <t>ул. Московская, д.  16</t>
  </si>
  <si>
    <t>ул. Московская, д.  22</t>
  </si>
  <si>
    <t>ул. Московская, д.  24</t>
  </si>
  <si>
    <t>ул. Московская, д.  25</t>
  </si>
  <si>
    <t>ул. Московская, д.  26</t>
  </si>
  <si>
    <t>ул. Московская, д.  27</t>
  </si>
  <si>
    <t>ул. Московская, д.  33</t>
  </si>
  <si>
    <t>ул. Московская, д.  35</t>
  </si>
  <si>
    <t>ул. Московская, д.  37</t>
  </si>
  <si>
    <t>ул. Московская, д.  43</t>
  </si>
  <si>
    <t>ул. Московская, д.  47</t>
  </si>
  <si>
    <t>ул. Николая Шишка, д.   1</t>
  </si>
  <si>
    <t>ул. Николая Шишка, д.   2</t>
  </si>
  <si>
    <t>ул. Николая Шишка, д.   3</t>
  </si>
  <si>
    <t>ул. Николая Шишка, д.   4</t>
  </si>
  <si>
    <t>ул. Николая Шишка, д.   6</t>
  </si>
  <si>
    <t>ул. Николая Шишка, д.   9</t>
  </si>
  <si>
    <t>ул. Николая Шишка, д.  12</t>
  </si>
  <si>
    <t>ул. Николая Шишка, д.  13</t>
  </si>
  <si>
    <t>ул. Николая Шишка, д.  20</t>
  </si>
  <si>
    <t>ул. Николая Шишка, д.  21</t>
  </si>
  <si>
    <t>ул. Николая Шишка, д.  22</t>
  </si>
  <si>
    <t>ул. Николая Шишка, д.  23</t>
  </si>
  <si>
    <t>ул. Николая Шишка, д.  26</t>
  </si>
  <si>
    <t>ул. Николая Шишка, д.  28</t>
  </si>
  <si>
    <t>ул. Николая Шишка, д.  29</t>
  </si>
  <si>
    <t>ул. Николая Шишка, д.  32</t>
  </si>
  <si>
    <t>ул. Николая Шишка, д.  34</t>
  </si>
  <si>
    <t>ул. Парковая, д.  10</t>
  </si>
  <si>
    <t>ул. Парковая, д.  12</t>
  </si>
  <si>
    <t>ул. Парковая, д.  14</t>
  </si>
  <si>
    <t>ул. Парковая, д.  16</t>
  </si>
  <si>
    <t>ул. Парковая, д.  18</t>
  </si>
  <si>
    <t>ул. Первомайская, д.   1</t>
  </si>
  <si>
    <t>ул. Первомайская, д.   2</t>
  </si>
  <si>
    <t>ул. Первомайская, д.   3</t>
  </si>
  <si>
    <t>ул. Первомайская, д.   4</t>
  </si>
  <si>
    <t>ул. Первомайская, д.   5</t>
  </si>
  <si>
    <t>ул. Первомайская, д.   6</t>
  </si>
  <si>
    <t>ул. Первомайская, д.   8</t>
  </si>
  <si>
    <t>ул. Первомайская, д.   9</t>
  </si>
  <si>
    <t>ул. Первомайская, д.  11</t>
  </si>
  <si>
    <t>ул. Первомайская, д.  12</t>
  </si>
  <si>
    <t>ул. Первомайская, д.  14</t>
  </si>
  <si>
    <t>ул. Первомайская, д.  16</t>
  </si>
  <si>
    <t>ул. Первомайская, д.  17</t>
  </si>
  <si>
    <t>ул. Первомайская, д.  19</t>
  </si>
  <si>
    <t>ул. Первомайская, д.  21</t>
  </si>
  <si>
    <t>ул. Первомайская, д.  22</t>
  </si>
  <si>
    <t>ул. Первомайская, д.  23</t>
  </si>
  <si>
    <t>ул. Первомайская, д.  24</t>
  </si>
  <si>
    <t>ул. Первомайская, д.  25</t>
  </si>
  <si>
    <t>ул. Первомайская, д.  26</t>
  </si>
  <si>
    <t>пер. Спартаковский, д.   2</t>
  </si>
  <si>
    <t>пер. Спартаковский, д.   4</t>
  </si>
  <si>
    <t>пер. Спартаковский, д.   8</t>
  </si>
  <si>
    <t>пер. Спартаковский, д.  10</t>
  </si>
  <si>
    <t>ул. Строителей, д.   3</t>
  </si>
  <si>
    <t>ул. Строителей, д.   4</t>
  </si>
  <si>
    <t>ул. Строителей, д.   5</t>
  </si>
  <si>
    <t>ул. Строителей, д.   6</t>
  </si>
  <si>
    <t>ул. Строителей, д.   7</t>
  </si>
  <si>
    <t>ул. Строителей, д.  10</t>
  </si>
  <si>
    <t>ул. Строителей, д.  18</t>
  </si>
  <si>
    <t>ул. Строителей, д.  20</t>
  </si>
  <si>
    <t>ул. Строителей, д.  21</t>
  </si>
  <si>
    <t>ул. Строителей, д.  23</t>
  </si>
  <si>
    <t>ул. Строителей, д.  25</t>
  </si>
  <si>
    <t>ул. Строителей, д.  27</t>
  </si>
  <si>
    <t>ул. Строителей, д.  29</t>
  </si>
  <si>
    <t>ул. Строителей, д.  31</t>
  </si>
  <si>
    <t>ул. Строителей, д.  33</t>
  </si>
  <si>
    <t>ул. Строителей, д.  37</t>
  </si>
  <si>
    <t>ул. Строителей, д.  38</t>
  </si>
  <si>
    <t>ул. Строителей, д.  39</t>
  </si>
  <si>
    <t>ул. Строителей, д.  40</t>
  </si>
  <si>
    <t>ул. Строителей, д.  41</t>
  </si>
  <si>
    <t>ул. Строителей, д.  42</t>
  </si>
  <si>
    <t>ул. Строителей, д.  44</t>
  </si>
  <si>
    <t>ул. Суворова, д.  31</t>
  </si>
  <si>
    <t>ул. Тургенева, д.   2</t>
  </si>
  <si>
    <t>ул. Тургенева, д.   4</t>
  </si>
  <si>
    <t>ул. Тургенева, д.  16</t>
  </si>
  <si>
    <t>ул. Тургенева, д.  18</t>
  </si>
  <si>
    <t>ул. Уральская, д.   4</t>
  </si>
  <si>
    <t>ул. Уральская, д.   7</t>
  </si>
  <si>
    <t>ул. Уральская, д.   8</t>
  </si>
  <si>
    <t>ул. Уральская, д.   9</t>
  </si>
  <si>
    <t>ул. Уральская, д.  25</t>
  </si>
  <si>
    <t>ул. Уральская, д.  26</t>
  </si>
  <si>
    <t>ул. Уральская, д.  27</t>
  </si>
  <si>
    <t>ул. Уральская, д.  28</t>
  </si>
  <si>
    <t>ул. Уральская, д.  29</t>
  </si>
  <si>
    <t>ул. Уральская, д.  30</t>
  </si>
  <si>
    <t>ул. Уральская, д.  32</t>
  </si>
  <si>
    <t>ул. Уральская, д.  34</t>
  </si>
  <si>
    <t>ул. Уральская, д.  35</t>
  </si>
  <si>
    <t>ул. Уральская, д.  36</t>
  </si>
  <si>
    <t>ул. Уральская, д.  37</t>
  </si>
  <si>
    <t>ул. Уральская, д.  38</t>
  </si>
  <si>
    <t>ул. Уральская, д.  40</t>
  </si>
  <si>
    <t>ул. Уральская, д.  42</t>
  </si>
  <si>
    <t>ул. Уральская, д.  51</t>
  </si>
  <si>
    <t>ул. Уральская, д.  53</t>
  </si>
  <si>
    <t>ул. Уральская, д.  55</t>
  </si>
  <si>
    <t>ул. Уральская, д.  56</t>
  </si>
  <si>
    <t>ул. Уральская, д.  60</t>
  </si>
  <si>
    <t>ул. Уральская, д.  62</t>
  </si>
  <si>
    <t>ул. Уральская, д.  64</t>
  </si>
  <si>
    <t>ул. Уральская, д.  66</t>
  </si>
  <si>
    <t>ул. Уральская, д.  67</t>
  </si>
  <si>
    <t>ул. Чекалина, д.   4</t>
  </si>
  <si>
    <t>ул. Чекалина, д.   8</t>
  </si>
  <si>
    <t>ул. Чекалина, д.  10</t>
  </si>
  <si>
    <t>ул. Менделеева, д.  13</t>
  </si>
  <si>
    <t>пр. Карла Маркса, д.  35</t>
  </si>
  <si>
    <t>пл. Горького, д.   6</t>
  </si>
  <si>
    <t>ул. Московская, д.  10</t>
  </si>
  <si>
    <t>ул. Московская, д.  20</t>
  </si>
  <si>
    <t>ИТОГО:</t>
  </si>
  <si>
    <t>ул. Вокзальная, д. 114\1</t>
  </si>
  <si>
    <t>ул. Вокзальная, д. 126\1</t>
  </si>
  <si>
    <t>ул. Вокзальная, д. 128\1</t>
  </si>
  <si>
    <t>ул. Вокзальная, д. 134\1</t>
  </si>
  <si>
    <t>ул. Вокзальная, д. 138\1</t>
  </si>
  <si>
    <t>ул. Вокзальная, д. 144\1</t>
  </si>
  <si>
    <t>ул. Вокзальная, д. 144\2</t>
  </si>
  <si>
    <t>ул. Герцена, д.  23\А</t>
  </si>
  <si>
    <t>пл. Горького, д.   2\1</t>
  </si>
  <si>
    <t>пл. Горького, д.   6\1</t>
  </si>
  <si>
    <t>пр. Карла Маркса, д.   7\1</t>
  </si>
  <si>
    <t>пр. Карла Маркса, д.  12\1</t>
  </si>
  <si>
    <t>пр. Карла Маркса, д.  12\2</t>
  </si>
  <si>
    <t>пр. Карла Маркса, д.  16\1</t>
  </si>
  <si>
    <t>пр. Карла Маркса, д.  18\1</t>
  </si>
  <si>
    <t>пр. Карла Маркса, д.   8\1</t>
  </si>
  <si>
    <t>пр. Карла Маркса, д.  22\А</t>
  </si>
  <si>
    <t>пр. Ленина, д.   1\1</t>
  </si>
  <si>
    <t>пр. Ленина, д.   2\2</t>
  </si>
  <si>
    <t>пр. Ленина, д.   3\1</t>
  </si>
  <si>
    <t>пр. Ленина, д.   4\1</t>
  </si>
  <si>
    <t>пр. Ленина, д.  10\1</t>
  </si>
  <si>
    <t>пр. Ленина, д.  17\2</t>
  </si>
  <si>
    <t>пр. Ленина, д.  17\3</t>
  </si>
  <si>
    <t>пр. Ленина, д.  19\1</t>
  </si>
  <si>
    <t>пр. Ленина, д.  19\2</t>
  </si>
  <si>
    <t>пр. Ленина, д.  19\3</t>
  </si>
  <si>
    <t>пр. Ленина, д.  19\4</t>
  </si>
  <si>
    <t>пр. Ленина, д.  21\1</t>
  </si>
  <si>
    <t>пр. Ленина, д.  21\2</t>
  </si>
  <si>
    <t>пр. Ленина, д.  21\3</t>
  </si>
  <si>
    <t>пр. Ленина, д.  25\1</t>
  </si>
  <si>
    <t>пр. Ленина, д.  29\1</t>
  </si>
  <si>
    <t>ул. Менделеева, д.   5\1</t>
  </si>
  <si>
    <t>ул. Менделеева, д.   9\1</t>
  </si>
  <si>
    <t>ул. Менделеева, д.  10\1</t>
  </si>
  <si>
    <t>ул. Менделеева, д.  17\1</t>
  </si>
  <si>
    <t>ул. Менделеева, д.  19\1</t>
  </si>
  <si>
    <t>ул. Менделеева, д.   6\А</t>
  </si>
  <si>
    <t>ул. Менделеева, д.   8\А</t>
  </si>
  <si>
    <t>ул. Московская, д.   2\1</t>
  </si>
  <si>
    <t>ул. Московская, д.  12\1</t>
  </si>
  <si>
    <t>ул. Московская, д.  12\2</t>
  </si>
  <si>
    <t>ул. Московская, д.  13\1</t>
  </si>
  <si>
    <t>ул. Московская, д.  13\2</t>
  </si>
  <si>
    <t>ул. Московская, д.  17\1</t>
  </si>
  <si>
    <t>ул. Московская, д.  17\2</t>
  </si>
  <si>
    <t>ул. Московская, д.  19\1</t>
  </si>
  <si>
    <t>ул. Московская, д.  19\2</t>
  </si>
  <si>
    <t>ул. Московская, д.  19\3</t>
  </si>
  <si>
    <t>ул. Московская, д.  24\1</t>
  </si>
  <si>
    <t>ул. Московская, д.  26\1</t>
  </si>
  <si>
    <t>ул. Московская, д.  26\3</t>
  </si>
  <si>
    <t>ул. Московская, д.  45\1</t>
  </si>
  <si>
    <t>ул. Московская, д.  49\1</t>
  </si>
  <si>
    <t>ул. Николая Шишка, д.  15\1</t>
  </si>
  <si>
    <t>ул. Николая Шишка, д.  20\1</t>
  </si>
  <si>
    <t>ул. Николая Шишка, д.  20\2</t>
  </si>
  <si>
    <t>ул. Николая Шишка, д.  28\1</t>
  </si>
  <si>
    <t>ул. Николая Шишка, д.  32\1</t>
  </si>
  <si>
    <t>ул. Первомайская, д.  19\1</t>
  </si>
  <si>
    <t>ул. Первомайская, д.  23\1</t>
  </si>
  <si>
    <t>ул. Первомайская, д.  26\1</t>
  </si>
  <si>
    <t>пер. Спартаковский, д.   6\1</t>
  </si>
  <si>
    <t>пер. Спартаковский, д.  10\1</t>
  </si>
  <si>
    <t>пер. Спартаковский, д.  10\2</t>
  </si>
  <si>
    <t>ул. Строителей, д.   7\1</t>
  </si>
  <si>
    <t>ул. Строителей, д.  33\1</t>
  </si>
  <si>
    <t>ул. Строителей, д.  35\1</t>
  </si>
  <si>
    <t>ул. Строителей, д.  35\2</t>
  </si>
  <si>
    <t>ул. Строителей, д.  37\1</t>
  </si>
  <si>
    <t>ул. Строителей, д.  40\1</t>
  </si>
  <si>
    <t>ул. Строителей, д.  42\1</t>
  </si>
  <si>
    <t>ул. Строителей, д.  13\А</t>
  </si>
  <si>
    <t>ул. Строителей, д.  27\А</t>
  </si>
  <si>
    <t>ул. Тургенева, д.  16\1</t>
  </si>
  <si>
    <t>ул. Тургенева, д.  18\1</t>
  </si>
  <si>
    <t>ул. Уральская, д.   4\1</t>
  </si>
  <si>
    <t>ул. Уральская, д.   6\1</t>
  </si>
  <si>
    <t>ул. Уральская, д.   7\1</t>
  </si>
  <si>
    <t>ул. Уральская, д.   8\1</t>
  </si>
  <si>
    <t>ул. Уральская, д.   9\1</t>
  </si>
  <si>
    <t>ул. Уральская, д.  16\1</t>
  </si>
  <si>
    <t>ул. Уральская, д.  36\1</t>
  </si>
  <si>
    <t>ул. Уральская, д.  36\2</t>
  </si>
  <si>
    <t>ул. Уральская, д.  36\3</t>
  </si>
  <si>
    <t>ул. Уральская, д.  58\1</t>
  </si>
  <si>
    <t>ул. Уральская, д.  60\1</t>
  </si>
  <si>
    <t>ул. Уральская, д.  62\1</t>
  </si>
  <si>
    <t>ул. Уральская, д.  64\1</t>
  </si>
  <si>
    <t>ул. Уральская, д.  66\1</t>
  </si>
  <si>
    <t>ул. Уральская, д.  11\А</t>
  </si>
  <si>
    <t>ул. Урицкого, д.   3\А</t>
  </si>
  <si>
    <t>ул. Уральская, д.   9\А</t>
  </si>
  <si>
    <t>Выполнено работ, предоставлено услуг</t>
  </si>
  <si>
    <t>ДОХОДЫ</t>
  </si>
  <si>
    <t>Доходы</t>
  </si>
  <si>
    <t>ОПЛАТА</t>
  </si>
  <si>
    <t>в том числе:</t>
  </si>
  <si>
    <t>ВСЕГО с учетом задолженности населения
(остаток"+"/
долг"-")</t>
  </si>
  <si>
    <t>Остаток денежных средств от оплаты (остаток "+"/
долг"-")</t>
  </si>
  <si>
    <t>Задолженность населения 
(долг"+"/ 
переплата "-")</t>
  </si>
  <si>
    <t>2009 год</t>
  </si>
  <si>
    <t>Остаток средств на 01.01.2010г.</t>
  </si>
  <si>
    <t>Смета доходов и расходов за 2009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</si>
</sst>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0">
    <xf numFmtId="0" fontId="0" fillId="0" borderId="0" xfId="0"/>
    <xf numFmtId="49" fontId="2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40" fontId="4" fillId="0" borderId="1" xfId="0" applyNumberFormat="1" applyFont="1" applyBorder="1" applyAlignment="1">
      <alignment horizontal="right"/>
    </xf>
    <xf numFmtId="0" fontId="0" fillId="0" borderId="0" xfId="0" applyBorder="1"/>
    <xf numFmtId="40" fontId="6" fillId="0" borderId="1" xfId="0" applyNumberFormat="1" applyFont="1" applyBorder="1" applyAlignment="1">
      <alignment horizontal="right"/>
    </xf>
    <xf numFmtId="0" fontId="7" fillId="0" borderId="0" xfId="0" applyFont="1" applyBorder="1"/>
    <xf numFmtId="40" fontId="4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2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4" fillId="0" borderId="2" xfId="0" applyNumberFormat="1" applyFont="1" applyFill="1" applyBorder="1"/>
    <xf numFmtId="49" fontId="6" fillId="0" borderId="2" xfId="0" applyNumberFormat="1" applyFont="1" applyBorder="1"/>
    <xf numFmtId="2" fontId="5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576"/>
  <sheetViews>
    <sheetView tabSelected="1" view="pageBreakPreview" zoomScale="80" zoomScaleNormal="40" zoomScaleSheetLayoutView="80" workbookViewId="0">
      <pane xSplit="1" ySplit="5" topLeftCell="B327" activePane="bottomRight" state="frozen"/>
      <selection activeCell="A347" sqref="A347:A348"/>
      <selection pane="topRight" activeCell="A347" sqref="A347:A348"/>
      <selection pane="bottomLeft" activeCell="A347" sqref="A347:A348"/>
      <selection pane="bottomRight" activeCell="F339" sqref="F339"/>
    </sheetView>
  </sheetViews>
  <sheetFormatPr defaultRowHeight="15" outlineLevelRow="1" outlineLevelCol="3" x14ac:dyDescent="0.25"/>
  <cols>
    <col min="1" max="1" width="24.7109375" style="1" customWidth="1"/>
    <col min="2" max="2" width="16" style="2" customWidth="1" outlineLevel="2" collapsed="1"/>
    <col min="3" max="3" width="15.85546875" style="2" customWidth="1" outlineLevel="2"/>
    <col min="4" max="4" width="16.7109375" style="2" customWidth="1" outlineLevel="2"/>
    <col min="5" max="5" width="14.42578125" style="2" customWidth="1" outlineLevel="3"/>
    <col min="6" max="6" width="16.28515625" style="2" customWidth="1" outlineLevel="3"/>
    <col min="7" max="7" width="15.28515625" style="2" customWidth="1" outlineLevel="3"/>
    <col min="8" max="16384" width="9.140625" style="4"/>
  </cols>
  <sheetData>
    <row r="1" spans="1:7" ht="18" customHeight="1" x14ac:dyDescent="0.3">
      <c r="A1" s="19" t="s">
        <v>341</v>
      </c>
      <c r="B1" s="19"/>
      <c r="C1" s="19"/>
      <c r="D1" s="19"/>
      <c r="E1" s="19"/>
      <c r="F1" s="19"/>
      <c r="G1" s="19"/>
    </row>
    <row r="2" spans="1:7" ht="15" customHeight="1" x14ac:dyDescent="0.25">
      <c r="A2" s="18" t="s">
        <v>0</v>
      </c>
      <c r="B2" s="17" t="s">
        <v>339</v>
      </c>
      <c r="C2" s="17"/>
      <c r="D2" s="17"/>
      <c r="E2" s="17"/>
      <c r="F2" s="17"/>
      <c r="G2" s="17"/>
    </row>
    <row r="3" spans="1:7" ht="15" customHeight="1" x14ac:dyDescent="0.25">
      <c r="A3" s="18"/>
      <c r="B3" s="10" t="s">
        <v>332</v>
      </c>
      <c r="C3" s="10" t="s">
        <v>334</v>
      </c>
      <c r="D3" s="15" t="s">
        <v>331</v>
      </c>
      <c r="E3" s="16" t="s">
        <v>340</v>
      </c>
      <c r="F3" s="16"/>
      <c r="G3" s="16"/>
    </row>
    <row r="4" spans="1:7" ht="30" customHeight="1" x14ac:dyDescent="0.25">
      <c r="A4" s="18"/>
      <c r="B4" s="15" t="s">
        <v>333</v>
      </c>
      <c r="C4" s="15" t="s">
        <v>1</v>
      </c>
      <c r="D4" s="15"/>
      <c r="E4" s="16" t="s">
        <v>336</v>
      </c>
      <c r="F4" s="14" t="s">
        <v>335</v>
      </c>
      <c r="G4" s="14"/>
    </row>
    <row r="5" spans="1:7" ht="70.5" customHeight="1" x14ac:dyDescent="0.25">
      <c r="A5" s="18"/>
      <c r="B5" s="15"/>
      <c r="C5" s="15"/>
      <c r="D5" s="15"/>
      <c r="E5" s="16"/>
      <c r="F5" s="9" t="s">
        <v>337</v>
      </c>
      <c r="G5" s="9" t="s">
        <v>338</v>
      </c>
    </row>
    <row r="6" spans="1:7" x14ac:dyDescent="0.25">
      <c r="A6" s="11" t="s">
        <v>2</v>
      </c>
      <c r="B6" s="3">
        <f>280521.33+35077.51+23087.14</f>
        <v>338685.98000000004</v>
      </c>
      <c r="C6" s="3">
        <f>269617.56+35077.51+23087.14</f>
        <v>327782.21000000002</v>
      </c>
      <c r="D6" s="3">
        <v>287104.78999999998</v>
      </c>
      <c r="E6" s="3">
        <f>F6+G6</f>
        <v>51581.190000000061</v>
      </c>
      <c r="F6" s="3">
        <f t="shared" ref="F6:F69" si="0">C6-D6</f>
        <v>40677.420000000042</v>
      </c>
      <c r="G6" s="3">
        <f t="shared" ref="G6:G69" si="1">B6-C6</f>
        <v>10903.770000000019</v>
      </c>
    </row>
    <row r="7" spans="1:7" x14ac:dyDescent="0.25">
      <c r="A7" s="11" t="s">
        <v>3</v>
      </c>
      <c r="B7" s="3">
        <f>275681.97+32704.93+1016.95</f>
        <v>309403.84999999998</v>
      </c>
      <c r="C7" s="3">
        <f>276419.57+32704.93+1016.95</f>
        <v>310141.45</v>
      </c>
      <c r="D7" s="3">
        <v>286580.49</v>
      </c>
      <c r="E7" s="3">
        <f t="shared" ref="E7:E70" si="2">F7+G7</f>
        <v>22823.359999999986</v>
      </c>
      <c r="F7" s="3">
        <f t="shared" si="0"/>
        <v>23560.960000000021</v>
      </c>
      <c r="G7" s="3">
        <f t="shared" si="1"/>
        <v>-737.60000000003492</v>
      </c>
    </row>
    <row r="8" spans="1:7" x14ac:dyDescent="0.25">
      <c r="A8" s="11" t="s">
        <v>4</v>
      </c>
      <c r="B8" s="3">
        <f>287314.01+36292.71+8107.07</f>
        <v>331713.79000000004</v>
      </c>
      <c r="C8" s="3">
        <f>283850.81+36292.71+8107.07</f>
        <v>328250.59000000003</v>
      </c>
      <c r="D8" s="3">
        <v>301519.82</v>
      </c>
      <c r="E8" s="3">
        <f t="shared" si="2"/>
        <v>30193.97000000003</v>
      </c>
      <c r="F8" s="3">
        <f t="shared" si="0"/>
        <v>26730.770000000019</v>
      </c>
      <c r="G8" s="3">
        <f t="shared" si="1"/>
        <v>3463.2000000000116</v>
      </c>
    </row>
    <row r="9" spans="1:7" x14ac:dyDescent="0.25">
      <c r="A9" s="11" t="s">
        <v>5</v>
      </c>
      <c r="B9" s="3">
        <f>771083.89+17170.48</f>
        <v>788254.37</v>
      </c>
      <c r="C9" s="3">
        <f>695838.92+17170.48</f>
        <v>713009.4</v>
      </c>
      <c r="D9" s="3">
        <v>983520.97</v>
      </c>
      <c r="E9" s="3">
        <f t="shared" si="2"/>
        <v>-195266.59999999998</v>
      </c>
      <c r="F9" s="3">
        <f t="shared" si="0"/>
        <v>-270511.56999999995</v>
      </c>
      <c r="G9" s="3">
        <f t="shared" si="1"/>
        <v>75244.969999999972</v>
      </c>
    </row>
    <row r="10" spans="1:7" x14ac:dyDescent="0.25">
      <c r="A10" s="11" t="s">
        <v>6</v>
      </c>
      <c r="B10" s="3">
        <f>794325.92+28201.53</f>
        <v>822527.45000000007</v>
      </c>
      <c r="C10" s="3">
        <f>725096.33+28201.53</f>
        <v>753297.86</v>
      </c>
      <c r="D10" s="3">
        <v>895738.08</v>
      </c>
      <c r="E10" s="3">
        <f t="shared" si="2"/>
        <v>-73210.629999999888</v>
      </c>
      <c r="F10" s="3">
        <f t="shared" si="0"/>
        <v>-142440.21999999997</v>
      </c>
      <c r="G10" s="3">
        <f t="shared" si="1"/>
        <v>69229.590000000084</v>
      </c>
    </row>
    <row r="11" spans="1:7" x14ac:dyDescent="0.25">
      <c r="A11" s="11" t="s">
        <v>7</v>
      </c>
      <c r="B11" s="3">
        <f>236017.96+79170.99</f>
        <v>315188.95</v>
      </c>
      <c r="C11" s="3">
        <f>232592.44+79170.99</f>
        <v>311763.43</v>
      </c>
      <c r="D11" s="3">
        <v>242165.69</v>
      </c>
      <c r="E11" s="3">
        <f t="shared" si="2"/>
        <v>73023.260000000009</v>
      </c>
      <c r="F11" s="3">
        <f t="shared" si="0"/>
        <v>69597.739999999991</v>
      </c>
      <c r="G11" s="3">
        <f t="shared" si="1"/>
        <v>3425.5200000000186</v>
      </c>
    </row>
    <row r="12" spans="1:7" x14ac:dyDescent="0.25">
      <c r="A12" s="11" t="s">
        <v>8</v>
      </c>
      <c r="B12" s="3">
        <f>248373.61+59557.5+18357.66</f>
        <v>326288.76999999996</v>
      </c>
      <c r="C12" s="3">
        <f>59557.5+241403.53+18357.66</f>
        <v>319318.69</v>
      </c>
      <c r="D12" s="3">
        <v>256551.5</v>
      </c>
      <c r="E12" s="3">
        <f t="shared" si="2"/>
        <v>69737.26999999996</v>
      </c>
      <c r="F12" s="3">
        <f t="shared" si="0"/>
        <v>62767.19</v>
      </c>
      <c r="G12" s="3">
        <f t="shared" si="1"/>
        <v>6970.0799999999581</v>
      </c>
    </row>
    <row r="13" spans="1:7" x14ac:dyDescent="0.25">
      <c r="A13" s="11" t="s">
        <v>9</v>
      </c>
      <c r="B13" s="3">
        <f>243648.47+55826.53+25408.75</f>
        <v>324883.75</v>
      </c>
      <c r="C13" s="3">
        <f>230911.32+55826.53+25408.75</f>
        <v>312146.59999999998</v>
      </c>
      <c r="D13" s="3">
        <v>240682.06</v>
      </c>
      <c r="E13" s="3">
        <f t="shared" si="2"/>
        <v>84201.69</v>
      </c>
      <c r="F13" s="3">
        <f t="shared" si="0"/>
        <v>71464.539999999979</v>
      </c>
      <c r="G13" s="3">
        <f t="shared" si="1"/>
        <v>12737.150000000023</v>
      </c>
    </row>
    <row r="14" spans="1:7" x14ac:dyDescent="0.25">
      <c r="A14" s="11" t="s">
        <v>10</v>
      </c>
      <c r="B14" s="3">
        <f>252165.04+64090.77+17059.27+937496.21</f>
        <v>1270811.29</v>
      </c>
      <c r="C14" s="3">
        <f>230724.03+64090.77+17059.27+937496.21</f>
        <v>1249370.28</v>
      </c>
      <c r="D14" s="3">
        <v>1292405.47</v>
      </c>
      <c r="E14" s="3">
        <f t="shared" si="2"/>
        <v>-21594.179999999935</v>
      </c>
      <c r="F14" s="3">
        <f t="shared" si="0"/>
        <v>-43035.189999999944</v>
      </c>
      <c r="G14" s="3">
        <f t="shared" si="1"/>
        <v>21441.010000000009</v>
      </c>
    </row>
    <row r="15" spans="1:7" x14ac:dyDescent="0.25">
      <c r="A15" s="11" t="s">
        <v>11</v>
      </c>
      <c r="B15" s="3">
        <f>242347.41+64236.57+18398.16+1012053.63</f>
        <v>1337035.77</v>
      </c>
      <c r="C15" s="3">
        <f>246073.74+64236.57+1012053.63+18398.16</f>
        <v>1340762.0999999999</v>
      </c>
      <c r="D15" s="3">
        <v>1361302.58</v>
      </c>
      <c r="E15" s="3">
        <f t="shared" si="2"/>
        <v>-24266.810000000056</v>
      </c>
      <c r="F15" s="3">
        <f t="shared" si="0"/>
        <v>-20540.480000000214</v>
      </c>
      <c r="G15" s="3">
        <f t="shared" si="1"/>
        <v>-3726.3299999998417</v>
      </c>
    </row>
    <row r="16" spans="1:7" x14ac:dyDescent="0.25">
      <c r="A16" s="11" t="s">
        <v>237</v>
      </c>
      <c r="B16" s="3">
        <f>318378.02+89069.41</f>
        <v>407447.43000000005</v>
      </c>
      <c r="C16" s="3">
        <f>307848.53+89069.41</f>
        <v>396917.94000000006</v>
      </c>
      <c r="D16" s="3">
        <v>258859.03</v>
      </c>
      <c r="E16" s="3">
        <f t="shared" si="2"/>
        <v>148588.40000000005</v>
      </c>
      <c r="F16" s="3">
        <f t="shared" si="0"/>
        <v>138058.91000000006</v>
      </c>
      <c r="G16" s="3">
        <f t="shared" si="1"/>
        <v>10529.489999999991</v>
      </c>
    </row>
    <row r="17" spans="1:7" x14ac:dyDescent="0.25">
      <c r="A17" s="11" t="s">
        <v>12</v>
      </c>
      <c r="B17" s="3">
        <f>241041.91+53720.12+6516.31+553919.86</f>
        <v>855198.2</v>
      </c>
      <c r="C17" s="3">
        <f>223411.06+53720.12+6516.31+553919.86</f>
        <v>837567.35</v>
      </c>
      <c r="D17" s="3">
        <v>803072.46</v>
      </c>
      <c r="E17" s="3">
        <f t="shared" si="2"/>
        <v>52125.739999999991</v>
      </c>
      <c r="F17" s="3">
        <f t="shared" si="0"/>
        <v>34494.890000000014</v>
      </c>
      <c r="G17" s="3">
        <f t="shared" si="1"/>
        <v>17630.849999999977</v>
      </c>
    </row>
    <row r="18" spans="1:7" x14ac:dyDescent="0.25">
      <c r="A18" s="11" t="s">
        <v>13</v>
      </c>
      <c r="B18" s="3">
        <f>251617.75+51021.18+946529.03</f>
        <v>1249167.96</v>
      </c>
      <c r="C18" s="3">
        <f>248535.61+51021.18+946529.03</f>
        <v>1246085.82</v>
      </c>
      <c r="D18" s="3">
        <v>1218218.5</v>
      </c>
      <c r="E18" s="3">
        <f t="shared" si="2"/>
        <v>30949.459999999963</v>
      </c>
      <c r="F18" s="3">
        <f t="shared" si="0"/>
        <v>27867.320000000065</v>
      </c>
      <c r="G18" s="3">
        <f t="shared" si="1"/>
        <v>3082.1399999998976</v>
      </c>
    </row>
    <row r="19" spans="1:7" x14ac:dyDescent="0.25">
      <c r="A19" s="11" t="s">
        <v>14</v>
      </c>
      <c r="B19" s="3">
        <f>253048.81+82110.53+40848.6</f>
        <v>376007.93999999994</v>
      </c>
      <c r="C19" s="3">
        <f>251633.73+82110.53+40848.6</f>
        <v>374592.86</v>
      </c>
      <c r="D19" s="3">
        <v>332491.43</v>
      </c>
      <c r="E19" s="3">
        <f t="shared" si="2"/>
        <v>43516.509999999951</v>
      </c>
      <c r="F19" s="3">
        <f t="shared" si="0"/>
        <v>42101.429999999993</v>
      </c>
      <c r="G19" s="3">
        <f t="shared" si="1"/>
        <v>1415.0799999999581</v>
      </c>
    </row>
    <row r="20" spans="1:7" x14ac:dyDescent="0.25">
      <c r="A20" s="11" t="s">
        <v>15</v>
      </c>
      <c r="B20" s="3">
        <f>258773.41+74028.87+28850.14</f>
        <v>361652.42000000004</v>
      </c>
      <c r="C20" s="3">
        <f>260829+74028.87+28850.14</f>
        <v>363708.01</v>
      </c>
      <c r="D20" s="3">
        <v>332374.61</v>
      </c>
      <c r="E20" s="3">
        <f t="shared" si="2"/>
        <v>29277.810000000056</v>
      </c>
      <c r="F20" s="3">
        <f t="shared" si="0"/>
        <v>31333.400000000023</v>
      </c>
      <c r="G20" s="3">
        <f t="shared" si="1"/>
        <v>-2055.5899999999674</v>
      </c>
    </row>
    <row r="21" spans="1:7" x14ac:dyDescent="0.25">
      <c r="A21" s="11" t="s">
        <v>16</v>
      </c>
      <c r="B21" s="3">
        <f>242657.61+83454.38+2033.9+384338.25</f>
        <v>712484.14</v>
      </c>
      <c r="C21" s="3">
        <f>235426.84+83454.38+2033.9+384338.25</f>
        <v>705253.37</v>
      </c>
      <c r="D21" s="3">
        <v>723497.59</v>
      </c>
      <c r="E21" s="3">
        <f t="shared" si="2"/>
        <v>-11013.449999999953</v>
      </c>
      <c r="F21" s="3">
        <f t="shared" si="0"/>
        <v>-18244.219999999972</v>
      </c>
      <c r="G21" s="3">
        <f t="shared" si="1"/>
        <v>7230.7700000000186</v>
      </c>
    </row>
    <row r="22" spans="1:7" x14ac:dyDescent="0.25">
      <c r="A22" s="11" t="s">
        <v>238</v>
      </c>
      <c r="B22" s="3">
        <f>256511.16+63377.63+2033.9</f>
        <v>321922.69</v>
      </c>
      <c r="C22" s="3">
        <f>246829.05+63377.63+2033.9</f>
        <v>312240.58</v>
      </c>
      <c r="D22" s="3">
        <v>222458.51</v>
      </c>
      <c r="E22" s="3">
        <f t="shared" si="2"/>
        <v>99464.18</v>
      </c>
      <c r="F22" s="3">
        <f t="shared" si="0"/>
        <v>89782.07</v>
      </c>
      <c r="G22" s="3">
        <f t="shared" si="1"/>
        <v>9682.109999999986</v>
      </c>
    </row>
    <row r="23" spans="1:7" x14ac:dyDescent="0.25">
      <c r="A23" s="11" t="s">
        <v>17</v>
      </c>
      <c r="B23" s="3">
        <f>249320.65+74585.53+44902.11+728095</f>
        <v>1096903.29</v>
      </c>
      <c r="C23" s="3">
        <f>251456.18+74585.53+728095+44902.11</f>
        <v>1099038.82</v>
      </c>
      <c r="D23" s="3">
        <v>1097130.51</v>
      </c>
      <c r="E23" s="3">
        <f t="shared" si="2"/>
        <v>-227.21999999997206</v>
      </c>
      <c r="F23" s="3">
        <f t="shared" si="0"/>
        <v>1908.3100000000559</v>
      </c>
      <c r="G23" s="3">
        <f t="shared" si="1"/>
        <v>-2135.5300000000279</v>
      </c>
    </row>
    <row r="24" spans="1:7" x14ac:dyDescent="0.25">
      <c r="A24" s="11" t="s">
        <v>239</v>
      </c>
      <c r="B24" s="3">
        <f>247519.46+72997.51+5084.75</f>
        <v>325601.71999999997</v>
      </c>
      <c r="C24" s="3">
        <f>248213.12+72997.51+5084.75</f>
        <v>326295.38</v>
      </c>
      <c r="D24" s="3">
        <v>220416.64000000001</v>
      </c>
      <c r="E24" s="3">
        <f t="shared" si="2"/>
        <v>105185.07999999996</v>
      </c>
      <c r="F24" s="3">
        <f t="shared" si="0"/>
        <v>105878.73999999999</v>
      </c>
      <c r="G24" s="3">
        <f t="shared" si="1"/>
        <v>-693.6600000000326</v>
      </c>
    </row>
    <row r="25" spans="1:7" x14ac:dyDescent="0.25">
      <c r="A25" s="11" t="s">
        <v>18</v>
      </c>
      <c r="B25" s="3">
        <f>303177.67+67196.08+9167.29</f>
        <v>379541.04</v>
      </c>
      <c r="C25" s="3">
        <f>278247.97+67196.08+9167.29</f>
        <v>354611.33999999997</v>
      </c>
      <c r="D25" s="3">
        <v>258445.05</v>
      </c>
      <c r="E25" s="3">
        <f t="shared" si="2"/>
        <v>121095.98999999999</v>
      </c>
      <c r="F25" s="3">
        <f t="shared" si="0"/>
        <v>96166.289999999979</v>
      </c>
      <c r="G25" s="3">
        <f t="shared" si="1"/>
        <v>24929.700000000012</v>
      </c>
    </row>
    <row r="26" spans="1:7" x14ac:dyDescent="0.25">
      <c r="A26" s="11" t="s">
        <v>19</v>
      </c>
      <c r="B26" s="3">
        <f>287294.62+72799.44+4652.69</f>
        <v>364746.75</v>
      </c>
      <c r="C26" s="3">
        <f>266304.67+72799.44+4652.69</f>
        <v>343756.79999999999</v>
      </c>
      <c r="D26" s="3">
        <v>353500.09</v>
      </c>
      <c r="E26" s="3">
        <f t="shared" si="2"/>
        <v>11246.659999999974</v>
      </c>
      <c r="F26" s="3">
        <f t="shared" si="0"/>
        <v>-9743.2900000000373</v>
      </c>
      <c r="G26" s="3">
        <f t="shared" si="1"/>
        <v>20989.950000000012</v>
      </c>
    </row>
    <row r="27" spans="1:7" x14ac:dyDescent="0.25">
      <c r="A27" s="11" t="s">
        <v>240</v>
      </c>
      <c r="B27" s="3">
        <f>238217.52+64759.42</f>
        <v>302976.94</v>
      </c>
      <c r="C27" s="3">
        <f>220337.78+64759.042</f>
        <v>285096.82199999999</v>
      </c>
      <c r="D27" s="3">
        <v>224881.65</v>
      </c>
      <c r="E27" s="3">
        <f t="shared" si="2"/>
        <v>78095.290000000008</v>
      </c>
      <c r="F27" s="3">
        <f t="shared" si="0"/>
        <v>60215.171999999991</v>
      </c>
      <c r="G27" s="3">
        <f t="shared" si="1"/>
        <v>17880.118000000017</v>
      </c>
    </row>
    <row r="28" spans="1:7" x14ac:dyDescent="0.25">
      <c r="A28" s="11" t="s">
        <v>20</v>
      </c>
      <c r="B28" s="3">
        <f>244728.17+89067.89+32226.32+309541.67</f>
        <v>675564.05</v>
      </c>
      <c r="C28" s="3">
        <f>244964.6+89067.89+309541.67+32226.32</f>
        <v>675800.47999999986</v>
      </c>
      <c r="D28" s="3">
        <v>649663.9</v>
      </c>
      <c r="E28" s="3">
        <f t="shared" si="2"/>
        <v>25900.150000000023</v>
      </c>
      <c r="F28" s="3">
        <f t="shared" si="0"/>
        <v>26136.579999999842</v>
      </c>
      <c r="G28" s="3">
        <f t="shared" si="1"/>
        <v>-236.42999999981839</v>
      </c>
    </row>
    <row r="29" spans="1:7" x14ac:dyDescent="0.25">
      <c r="A29" s="11" t="s">
        <v>21</v>
      </c>
      <c r="B29" s="3">
        <f>440841.42+112462.83+883031.69+1016.95</f>
        <v>1437352.89</v>
      </c>
      <c r="C29" s="3">
        <f>394094.89+112462.83+883031.69+1016.95</f>
        <v>1390606.3599999999</v>
      </c>
      <c r="D29" s="3">
        <v>1619294.21</v>
      </c>
      <c r="E29" s="3">
        <f t="shared" si="2"/>
        <v>-181941.32000000007</v>
      </c>
      <c r="F29" s="3">
        <f t="shared" si="0"/>
        <v>-228687.85000000009</v>
      </c>
      <c r="G29" s="3">
        <f t="shared" si="1"/>
        <v>46746.530000000028</v>
      </c>
    </row>
    <row r="30" spans="1:7" x14ac:dyDescent="0.25">
      <c r="A30" s="11" t="s">
        <v>241</v>
      </c>
      <c r="B30" s="3">
        <f>322423.42+70924.58+710057.78+1016.95</f>
        <v>1104422.73</v>
      </c>
      <c r="C30" s="3">
        <f>308105.9+70924.58+710057.78+1016.95</f>
        <v>1090105.21</v>
      </c>
      <c r="D30" s="3">
        <v>1013272.03</v>
      </c>
      <c r="E30" s="3">
        <f t="shared" si="2"/>
        <v>91150.699999999953</v>
      </c>
      <c r="F30" s="3">
        <f t="shared" si="0"/>
        <v>76833.179999999935</v>
      </c>
      <c r="G30" s="3">
        <f t="shared" si="1"/>
        <v>14317.520000000019</v>
      </c>
    </row>
    <row r="31" spans="1:7" x14ac:dyDescent="0.25">
      <c r="A31" s="11" t="s">
        <v>22</v>
      </c>
      <c r="B31" s="3">
        <f>244966.66+70190.88+5749.4+554026.26</f>
        <v>874933.20000000007</v>
      </c>
      <c r="C31" s="3">
        <f>230642.93+70190.88+554026.26+5749.4</f>
        <v>860609.47000000009</v>
      </c>
      <c r="D31" s="3">
        <v>964423.97</v>
      </c>
      <c r="E31" s="3">
        <f t="shared" si="2"/>
        <v>-89490.769999999902</v>
      </c>
      <c r="F31" s="3">
        <f t="shared" si="0"/>
        <v>-103814.49999999988</v>
      </c>
      <c r="G31" s="3">
        <f t="shared" si="1"/>
        <v>14323.729999999981</v>
      </c>
    </row>
    <row r="32" spans="1:7" x14ac:dyDescent="0.25">
      <c r="A32" s="11" t="s">
        <v>23</v>
      </c>
      <c r="B32" s="3">
        <f>260257.33+75384.71+29364.64</f>
        <v>365006.68</v>
      </c>
      <c r="C32" s="3">
        <f>253946.03+75384.71+29364.64</f>
        <v>358695.38</v>
      </c>
      <c r="D32" s="3">
        <v>374895.07</v>
      </c>
      <c r="E32" s="3">
        <f t="shared" si="2"/>
        <v>-9888.390000000014</v>
      </c>
      <c r="F32" s="3">
        <f t="shared" si="0"/>
        <v>-16199.690000000002</v>
      </c>
      <c r="G32" s="3">
        <f t="shared" si="1"/>
        <v>6311.2999999999884</v>
      </c>
    </row>
    <row r="33" spans="1:7" x14ac:dyDescent="0.25">
      <c r="A33" s="11" t="s">
        <v>242</v>
      </c>
      <c r="B33" s="3">
        <f>270226.7+65173.49+430118.64</f>
        <v>765518.83000000007</v>
      </c>
      <c r="C33" s="3">
        <f>265724.43+65173.49+430118.64</f>
        <v>761016.56</v>
      </c>
      <c r="D33" s="3">
        <v>1028200.94</v>
      </c>
      <c r="E33" s="3">
        <f t="shared" si="2"/>
        <v>-262682.10999999987</v>
      </c>
      <c r="F33" s="3">
        <f t="shared" si="0"/>
        <v>-267184.37999999989</v>
      </c>
      <c r="G33" s="3">
        <f t="shared" si="1"/>
        <v>4502.2700000000186</v>
      </c>
    </row>
    <row r="34" spans="1:7" x14ac:dyDescent="0.25">
      <c r="A34" s="11" t="s">
        <v>243</v>
      </c>
      <c r="B34" s="3">
        <f>267442.8+84500.15+381099.47</f>
        <v>733042.41999999993</v>
      </c>
      <c r="C34" s="3">
        <f>266045.45+84500.15+381099.47</f>
        <v>731645.07</v>
      </c>
      <c r="D34" s="3">
        <v>780118.17</v>
      </c>
      <c r="E34" s="3">
        <f t="shared" si="2"/>
        <v>-47075.750000000116</v>
      </c>
      <c r="F34" s="3">
        <f t="shared" si="0"/>
        <v>-48473.100000000093</v>
      </c>
      <c r="G34" s="3">
        <f t="shared" si="1"/>
        <v>1397.3499999999767</v>
      </c>
    </row>
    <row r="35" spans="1:7" x14ac:dyDescent="0.25">
      <c r="A35" s="11" t="s">
        <v>24</v>
      </c>
      <c r="B35" s="3">
        <f>251589.18+54487.74+1016.95</f>
        <v>307093.87</v>
      </c>
      <c r="C35" s="3">
        <f>231215.98+54487.74+1016.95</f>
        <v>286720.67000000004</v>
      </c>
      <c r="D35" s="3">
        <v>206226.04</v>
      </c>
      <c r="E35" s="3">
        <f t="shared" si="2"/>
        <v>100867.82999999999</v>
      </c>
      <c r="F35" s="3">
        <f t="shared" si="0"/>
        <v>80494.630000000034</v>
      </c>
      <c r="G35" s="3">
        <f t="shared" si="1"/>
        <v>20373.199999999953</v>
      </c>
    </row>
    <row r="36" spans="1:7" x14ac:dyDescent="0.25">
      <c r="A36" s="11" t="s">
        <v>25</v>
      </c>
      <c r="B36" s="3">
        <f>267087.1+65370.04+1016.95</f>
        <v>333474.08999999997</v>
      </c>
      <c r="C36" s="3">
        <f>262743.2+65370.04+1016.95</f>
        <v>329130.19</v>
      </c>
      <c r="D36" s="3">
        <v>229585.34</v>
      </c>
      <c r="E36" s="3">
        <f t="shared" si="2"/>
        <v>103888.74999999997</v>
      </c>
      <c r="F36" s="3">
        <f t="shared" si="0"/>
        <v>99544.85</v>
      </c>
      <c r="G36" s="3">
        <f t="shared" si="1"/>
        <v>4343.8999999999651</v>
      </c>
    </row>
    <row r="37" spans="1:7" x14ac:dyDescent="0.25">
      <c r="A37" s="11" t="s">
        <v>26</v>
      </c>
      <c r="B37" s="3">
        <f>214614.36+22929.24+5794.73</f>
        <v>243338.33</v>
      </c>
      <c r="C37" s="3">
        <f>210002.17+22929.24+5794.73</f>
        <v>238726.14</v>
      </c>
      <c r="D37" s="3">
        <v>169180.41</v>
      </c>
      <c r="E37" s="3">
        <f t="shared" si="2"/>
        <v>74157.919999999984</v>
      </c>
      <c r="F37" s="3">
        <f t="shared" si="0"/>
        <v>69545.73000000001</v>
      </c>
      <c r="G37" s="3">
        <f t="shared" si="1"/>
        <v>4612.1899999999732</v>
      </c>
    </row>
    <row r="38" spans="1:7" x14ac:dyDescent="0.25">
      <c r="A38" s="11" t="s">
        <v>27</v>
      </c>
      <c r="B38" s="3">
        <f>204431.07+39342.07+6568.71</f>
        <v>250341.85</v>
      </c>
      <c r="C38" s="3">
        <f>201701.03+39342.07+6568.71</f>
        <v>247611.81</v>
      </c>
      <c r="D38" s="3">
        <v>168541.46</v>
      </c>
      <c r="E38" s="3">
        <f t="shared" si="2"/>
        <v>81800.390000000014</v>
      </c>
      <c r="F38" s="3">
        <f t="shared" si="0"/>
        <v>79070.350000000006</v>
      </c>
      <c r="G38" s="3">
        <f t="shared" si="1"/>
        <v>2730.0400000000081</v>
      </c>
    </row>
    <row r="39" spans="1:7" x14ac:dyDescent="0.25">
      <c r="A39" s="11" t="s">
        <v>28</v>
      </c>
      <c r="B39" s="3">
        <f>72049.52+11104.33+39363.18</f>
        <v>122517.03</v>
      </c>
      <c r="C39" s="3">
        <f>66282.67+11104.33+39363.18</f>
        <v>116750.18</v>
      </c>
      <c r="D39" s="3">
        <v>98126.85</v>
      </c>
      <c r="E39" s="3">
        <f t="shared" si="2"/>
        <v>24390.179999999993</v>
      </c>
      <c r="F39" s="3">
        <f t="shared" si="0"/>
        <v>18623.329999999987</v>
      </c>
      <c r="G39" s="3">
        <f t="shared" si="1"/>
        <v>5766.8500000000058</v>
      </c>
    </row>
    <row r="40" spans="1:7" x14ac:dyDescent="0.25">
      <c r="A40" s="11" t="s">
        <v>29</v>
      </c>
      <c r="B40" s="3">
        <f>72846.27+18662.13</f>
        <v>91508.400000000009</v>
      </c>
      <c r="C40" s="3">
        <f>72444.6+18662.13</f>
        <v>91106.73000000001</v>
      </c>
      <c r="D40" s="3">
        <v>79272.19</v>
      </c>
      <c r="E40" s="3">
        <f t="shared" si="2"/>
        <v>12236.210000000006</v>
      </c>
      <c r="F40" s="3">
        <f t="shared" si="0"/>
        <v>11834.540000000008</v>
      </c>
      <c r="G40" s="3">
        <f t="shared" si="1"/>
        <v>401.66999999999825</v>
      </c>
    </row>
    <row r="41" spans="1:7" x14ac:dyDescent="0.25">
      <c r="A41" s="11" t="s">
        <v>30</v>
      </c>
      <c r="B41" s="3">
        <f>69209.25+20527.26</f>
        <v>89736.51</v>
      </c>
      <c r="C41" s="3">
        <f>72885.92+20527.26</f>
        <v>93413.18</v>
      </c>
      <c r="D41" s="3">
        <v>80156.460000000006</v>
      </c>
      <c r="E41" s="3">
        <f t="shared" si="2"/>
        <v>9580.0499999999884</v>
      </c>
      <c r="F41" s="3">
        <f t="shared" si="0"/>
        <v>13256.719999999987</v>
      </c>
      <c r="G41" s="3">
        <f t="shared" si="1"/>
        <v>-3676.6699999999983</v>
      </c>
    </row>
    <row r="42" spans="1:7" x14ac:dyDescent="0.25">
      <c r="A42" s="11" t="s">
        <v>31</v>
      </c>
      <c r="B42" s="3">
        <f>79428.22+11397.31</f>
        <v>90825.53</v>
      </c>
      <c r="C42" s="3">
        <f>72154.54+11397.31</f>
        <v>83551.849999999991</v>
      </c>
      <c r="D42" s="3">
        <v>67289.63</v>
      </c>
      <c r="E42" s="3">
        <f t="shared" si="2"/>
        <v>23535.899999999994</v>
      </c>
      <c r="F42" s="3">
        <f t="shared" si="0"/>
        <v>16262.219999999987</v>
      </c>
      <c r="G42" s="3">
        <f t="shared" si="1"/>
        <v>7273.6800000000076</v>
      </c>
    </row>
    <row r="43" spans="1:7" x14ac:dyDescent="0.25">
      <c r="A43" s="11" t="s">
        <v>244</v>
      </c>
      <c r="B43" s="3">
        <f>202660.61+34663.76+6783.53</f>
        <v>244107.9</v>
      </c>
      <c r="C43" s="3">
        <f>201466.18+34663.76+6783.53</f>
        <v>242913.47</v>
      </c>
      <c r="D43" s="3">
        <v>213123.84</v>
      </c>
      <c r="E43" s="3">
        <f t="shared" si="2"/>
        <v>30984.059999999998</v>
      </c>
      <c r="F43" s="3">
        <f t="shared" si="0"/>
        <v>29789.630000000005</v>
      </c>
      <c r="G43" s="3">
        <f t="shared" si="1"/>
        <v>1194.429999999993</v>
      </c>
    </row>
    <row r="44" spans="1:7" x14ac:dyDescent="0.25">
      <c r="A44" s="11" t="s">
        <v>245</v>
      </c>
      <c r="B44" s="3">
        <f>82688.36+6651.51</f>
        <v>89339.87</v>
      </c>
      <c r="C44" s="3">
        <f>77030.41+6651.51</f>
        <v>83681.919999999998</v>
      </c>
      <c r="D44" s="3">
        <v>85497.46</v>
      </c>
      <c r="E44" s="3">
        <f t="shared" si="2"/>
        <v>3842.4099999999889</v>
      </c>
      <c r="F44" s="3">
        <f t="shared" si="0"/>
        <v>-1815.5400000000081</v>
      </c>
      <c r="G44" s="3">
        <f t="shared" si="1"/>
        <v>5657.9499999999971</v>
      </c>
    </row>
    <row r="45" spans="1:7" outlineLevel="1" x14ac:dyDescent="0.25">
      <c r="A45" s="11" t="s">
        <v>32</v>
      </c>
      <c r="B45" s="3">
        <f>202573.75+50114.4+105623.12+6191.29</f>
        <v>364502.56</v>
      </c>
      <c r="C45" s="3">
        <f>196608.36+50114.4+6191.29+105623.12</f>
        <v>358537.17</v>
      </c>
      <c r="D45" s="3">
        <v>271429.02</v>
      </c>
      <c r="E45" s="3">
        <f t="shared" si="2"/>
        <v>93073.539999999979</v>
      </c>
      <c r="F45" s="3">
        <f t="shared" si="0"/>
        <v>87108.149999999965</v>
      </c>
      <c r="G45" s="3">
        <f t="shared" si="1"/>
        <v>5965.390000000014</v>
      </c>
    </row>
    <row r="46" spans="1:7" outlineLevel="1" x14ac:dyDescent="0.25">
      <c r="A46" s="11" t="s">
        <v>246</v>
      </c>
      <c r="B46" s="3">
        <f>77343.86+13568.93+46342.18</f>
        <v>137254.97</v>
      </c>
      <c r="C46" s="3">
        <f>72938.79+13568.93+46342.18</f>
        <v>132849.9</v>
      </c>
      <c r="D46" s="3">
        <v>141635.54</v>
      </c>
      <c r="E46" s="3">
        <f t="shared" si="2"/>
        <v>-4380.570000000007</v>
      </c>
      <c r="F46" s="3">
        <f t="shared" si="0"/>
        <v>-8785.640000000014</v>
      </c>
      <c r="G46" s="3">
        <f t="shared" si="1"/>
        <v>4405.070000000007</v>
      </c>
    </row>
    <row r="47" spans="1:7" outlineLevel="1" x14ac:dyDescent="0.25">
      <c r="A47" s="11" t="s">
        <v>33</v>
      </c>
      <c r="B47" s="3">
        <f>169330.99+22031.27+222113.62</f>
        <v>413475.88</v>
      </c>
      <c r="C47" s="3">
        <f>163318.39+22031.27+222113.62</f>
        <v>407463.28</v>
      </c>
      <c r="D47" s="3">
        <v>360436.88</v>
      </c>
      <c r="E47" s="3">
        <f t="shared" si="2"/>
        <v>53039</v>
      </c>
      <c r="F47" s="3">
        <f t="shared" si="0"/>
        <v>47026.400000000023</v>
      </c>
      <c r="G47" s="3">
        <f t="shared" si="1"/>
        <v>6012.5999999999767</v>
      </c>
    </row>
    <row r="48" spans="1:7" outlineLevel="1" x14ac:dyDescent="0.25">
      <c r="A48" s="11" t="s">
        <v>34</v>
      </c>
      <c r="B48" s="3">
        <f>268855.46+39626.38+573088.31+1016.95</f>
        <v>882587.10000000009</v>
      </c>
      <c r="C48" s="3">
        <f>262599.42+39626.38+573088.31+1016.95</f>
        <v>876331.06</v>
      </c>
      <c r="D48" s="3">
        <v>825672.05</v>
      </c>
      <c r="E48" s="3">
        <f t="shared" si="2"/>
        <v>56915.050000000047</v>
      </c>
      <c r="F48" s="3">
        <f t="shared" si="0"/>
        <v>50659.010000000009</v>
      </c>
      <c r="G48" s="3">
        <f t="shared" si="1"/>
        <v>6256.0400000000373</v>
      </c>
    </row>
    <row r="49" spans="1:7" outlineLevel="1" x14ac:dyDescent="0.25">
      <c r="A49" s="11" t="s">
        <v>35</v>
      </c>
      <c r="B49" s="3">
        <f>261967.17+34283.54+836637.98</f>
        <v>1132888.69</v>
      </c>
      <c r="C49" s="3">
        <f>257776.68+34283.54+836637.98</f>
        <v>1128698.2</v>
      </c>
      <c r="D49" s="3">
        <v>1144788.83</v>
      </c>
      <c r="E49" s="3">
        <f t="shared" si="2"/>
        <v>-11900.14000000013</v>
      </c>
      <c r="F49" s="3">
        <f t="shared" si="0"/>
        <v>-16090.630000000121</v>
      </c>
      <c r="G49" s="3">
        <f t="shared" si="1"/>
        <v>4190.4899999999907</v>
      </c>
    </row>
    <row r="50" spans="1:7" outlineLevel="1" x14ac:dyDescent="0.25">
      <c r="A50" s="11" t="s">
        <v>36</v>
      </c>
      <c r="B50" s="3">
        <f>254811.94+56703.9+508791.06+1016.95</f>
        <v>821323.85</v>
      </c>
      <c r="C50" s="3">
        <f>247338.7+56703.9+508791.06+1016.95</f>
        <v>813850.61</v>
      </c>
      <c r="D50" s="3">
        <v>809862.67</v>
      </c>
      <c r="E50" s="3">
        <f t="shared" si="2"/>
        <v>11461.179999999935</v>
      </c>
      <c r="F50" s="3">
        <f t="shared" si="0"/>
        <v>3987.9399999999441</v>
      </c>
      <c r="G50" s="3">
        <f t="shared" si="1"/>
        <v>7473.2399999999907</v>
      </c>
    </row>
    <row r="51" spans="1:7" outlineLevel="1" x14ac:dyDescent="0.25">
      <c r="A51" s="11" t="s">
        <v>37</v>
      </c>
      <c r="B51" s="3">
        <f>153078.58+36875.8+580149.63</f>
        <v>770104.01</v>
      </c>
      <c r="C51" s="3">
        <f>133200.72+36875.8+580149.63</f>
        <v>750226.15</v>
      </c>
      <c r="D51" s="3">
        <v>758214.13</v>
      </c>
      <c r="E51" s="3">
        <f t="shared" si="2"/>
        <v>11889.880000000005</v>
      </c>
      <c r="F51" s="3">
        <f t="shared" si="0"/>
        <v>-7987.9799999999814</v>
      </c>
      <c r="G51" s="3">
        <f t="shared" si="1"/>
        <v>19877.859999999986</v>
      </c>
    </row>
    <row r="52" spans="1:7" outlineLevel="1" x14ac:dyDescent="0.25">
      <c r="A52" s="11" t="s">
        <v>38</v>
      </c>
      <c r="B52" s="3">
        <f>147288.7+30703.64+12796.81+726116.21</f>
        <v>916905.36</v>
      </c>
      <c r="C52" s="3">
        <f>141034.93+30703.64+726116.21+12796.81</f>
        <v>910651.59000000008</v>
      </c>
      <c r="D52" s="3">
        <v>912711.43</v>
      </c>
      <c r="E52" s="3">
        <f t="shared" si="2"/>
        <v>4193.9299999999348</v>
      </c>
      <c r="F52" s="3">
        <f t="shared" si="0"/>
        <v>-2059.8399999999674</v>
      </c>
      <c r="G52" s="3">
        <f t="shared" si="1"/>
        <v>6253.7699999999022</v>
      </c>
    </row>
    <row r="53" spans="1:7" outlineLevel="1" x14ac:dyDescent="0.25">
      <c r="A53" s="11" t="s">
        <v>39</v>
      </c>
      <c r="B53" s="3">
        <f>147205.98+35490.65+257450.87</f>
        <v>440147.5</v>
      </c>
      <c r="C53" s="3">
        <f>145015.24+35490.65+257450.87</f>
        <v>437956.76</v>
      </c>
      <c r="D53" s="3">
        <v>413840.51</v>
      </c>
      <c r="E53" s="3">
        <f t="shared" si="2"/>
        <v>26306.989999999991</v>
      </c>
      <c r="F53" s="3">
        <f t="shared" si="0"/>
        <v>24116.25</v>
      </c>
      <c r="G53" s="3">
        <f t="shared" si="1"/>
        <v>2190.7399999999907</v>
      </c>
    </row>
    <row r="54" spans="1:7" outlineLevel="1" x14ac:dyDescent="0.25">
      <c r="A54" s="11" t="s">
        <v>40</v>
      </c>
      <c r="B54" s="3">
        <f>228874.7+63025.6+839942.87+4188.78</f>
        <v>1136031.95</v>
      </c>
      <c r="C54" s="3">
        <f>221021.06+63025.6+839942.87+4188.78</f>
        <v>1128178.31</v>
      </c>
      <c r="D54" s="3">
        <v>1088776.3500000001</v>
      </c>
      <c r="E54" s="3">
        <f t="shared" si="2"/>
        <v>47255.59999999986</v>
      </c>
      <c r="F54" s="3">
        <f t="shared" si="0"/>
        <v>39401.959999999963</v>
      </c>
      <c r="G54" s="3">
        <f t="shared" si="1"/>
        <v>7853.6399999998976</v>
      </c>
    </row>
    <row r="55" spans="1:7" outlineLevel="1" x14ac:dyDescent="0.25">
      <c r="A55" s="11" t="s">
        <v>41</v>
      </c>
      <c r="B55" s="3">
        <f>132110.37+19573.52</f>
        <v>151683.88999999998</v>
      </c>
      <c r="C55" s="3">
        <f>134648.53+19573.52</f>
        <v>154222.04999999999</v>
      </c>
      <c r="D55" s="3">
        <v>108650.57</v>
      </c>
      <c r="E55" s="3">
        <f t="shared" si="2"/>
        <v>43033.319999999978</v>
      </c>
      <c r="F55" s="3">
        <f t="shared" si="0"/>
        <v>45571.479999999981</v>
      </c>
      <c r="G55" s="3">
        <f t="shared" si="1"/>
        <v>-2538.1600000000035</v>
      </c>
    </row>
    <row r="56" spans="1:7" outlineLevel="1" x14ac:dyDescent="0.25">
      <c r="A56" s="11" t="s">
        <v>42</v>
      </c>
      <c r="B56" s="3">
        <f>262437.13+62129.95+2033.9</f>
        <v>326600.98000000004</v>
      </c>
      <c r="C56" s="3">
        <f>249508.62+62129.95+2033.9</f>
        <v>313672.47000000003</v>
      </c>
      <c r="D56" s="3">
        <v>236568.66</v>
      </c>
      <c r="E56" s="3">
        <f t="shared" si="2"/>
        <v>90032.320000000036</v>
      </c>
      <c r="F56" s="3">
        <f t="shared" si="0"/>
        <v>77103.810000000027</v>
      </c>
      <c r="G56" s="3">
        <f t="shared" si="1"/>
        <v>12928.510000000009</v>
      </c>
    </row>
    <row r="57" spans="1:7" outlineLevel="1" x14ac:dyDescent="0.25">
      <c r="A57" s="11" t="s">
        <v>43</v>
      </c>
      <c r="B57" s="3">
        <f>231839.9+71193.39+500740.11+2033.9</f>
        <v>805807.29999999993</v>
      </c>
      <c r="C57" s="3">
        <f>221881.26+71193.39+500740.11+2033.9</f>
        <v>795848.66</v>
      </c>
      <c r="D57" s="3">
        <v>924531.5</v>
      </c>
      <c r="E57" s="3">
        <f t="shared" si="2"/>
        <v>-118724.20000000007</v>
      </c>
      <c r="F57" s="3">
        <f t="shared" si="0"/>
        <v>-128682.83999999997</v>
      </c>
      <c r="G57" s="3">
        <f t="shared" si="1"/>
        <v>9958.6399999998976</v>
      </c>
    </row>
    <row r="58" spans="1:7" outlineLevel="1" x14ac:dyDescent="0.25">
      <c r="A58" s="11" t="s">
        <v>44</v>
      </c>
      <c r="B58" s="3">
        <f>117710.14+34434.83</f>
        <v>152144.97</v>
      </c>
      <c r="C58" s="3">
        <f>117639.79+34434.83</f>
        <v>152074.62</v>
      </c>
      <c r="D58" s="3">
        <v>181164.78</v>
      </c>
      <c r="E58" s="3">
        <f t="shared" si="2"/>
        <v>-29019.809999999998</v>
      </c>
      <c r="F58" s="3">
        <f t="shared" si="0"/>
        <v>-29090.160000000003</v>
      </c>
      <c r="G58" s="3">
        <f t="shared" si="1"/>
        <v>70.350000000005821</v>
      </c>
    </row>
    <row r="59" spans="1:7" outlineLevel="1" x14ac:dyDescent="0.25">
      <c r="A59" s="11" t="s">
        <v>247</v>
      </c>
      <c r="B59" s="3">
        <f>193500.2+51240.55+226710</f>
        <v>471450.75</v>
      </c>
      <c r="C59" s="3">
        <f>189368.8+51240.55+226710</f>
        <v>467319.35</v>
      </c>
      <c r="D59" s="3">
        <v>190344.51</v>
      </c>
      <c r="E59" s="3">
        <f t="shared" si="2"/>
        <v>281106.24</v>
      </c>
      <c r="F59" s="3">
        <f t="shared" si="0"/>
        <v>276974.83999999997</v>
      </c>
      <c r="G59" s="3">
        <f t="shared" si="1"/>
        <v>4131.4000000000233</v>
      </c>
    </row>
    <row r="60" spans="1:7" outlineLevel="1" x14ac:dyDescent="0.25">
      <c r="A60" s="11" t="s">
        <v>45</v>
      </c>
      <c r="B60" s="3">
        <f>237445.3+65151.12+7335.48</f>
        <v>309931.89999999997</v>
      </c>
      <c r="C60" s="3">
        <f>237545.53+65151.12+7335.48</f>
        <v>310032.13</v>
      </c>
      <c r="D60" s="3">
        <v>224388.56</v>
      </c>
      <c r="E60" s="3">
        <f t="shared" si="2"/>
        <v>85543.339999999967</v>
      </c>
      <c r="F60" s="3">
        <f t="shared" si="0"/>
        <v>85643.57</v>
      </c>
      <c r="G60" s="3">
        <f t="shared" si="1"/>
        <v>-100.23000000003958</v>
      </c>
    </row>
    <row r="61" spans="1:7" outlineLevel="1" x14ac:dyDescent="0.25">
      <c r="A61" s="11" t="s">
        <v>46</v>
      </c>
      <c r="B61" s="3">
        <f>323779.89+65411.66+14198.26</f>
        <v>403389.81000000006</v>
      </c>
      <c r="C61" s="3">
        <f>295194.98+65411.66+14198.26</f>
        <v>374804.9</v>
      </c>
      <c r="D61" s="3">
        <v>227349.36</v>
      </c>
      <c r="E61" s="3">
        <f t="shared" si="2"/>
        <v>176040.45000000007</v>
      </c>
      <c r="F61" s="3">
        <f t="shared" si="0"/>
        <v>147455.54000000004</v>
      </c>
      <c r="G61" s="3">
        <f t="shared" si="1"/>
        <v>28584.910000000033</v>
      </c>
    </row>
    <row r="62" spans="1:7" outlineLevel="1" x14ac:dyDescent="0.25">
      <c r="A62" s="11" t="s">
        <v>47</v>
      </c>
      <c r="B62" s="3">
        <f>298234.29+87362.33+31963.79</f>
        <v>417560.41</v>
      </c>
      <c r="C62" s="3">
        <f>301739.65+87362.33+31963.79</f>
        <v>421065.77</v>
      </c>
      <c r="D62" s="3">
        <v>270664.93</v>
      </c>
      <c r="E62" s="3">
        <f t="shared" si="2"/>
        <v>146895.47999999998</v>
      </c>
      <c r="F62" s="3">
        <f t="shared" si="0"/>
        <v>150400.84000000003</v>
      </c>
      <c r="G62" s="3">
        <f t="shared" si="1"/>
        <v>-3505.3600000000442</v>
      </c>
    </row>
    <row r="63" spans="1:7" outlineLevel="1" x14ac:dyDescent="0.25">
      <c r="A63" s="11" t="s">
        <v>48</v>
      </c>
      <c r="B63" s="3">
        <f>250793.15+57835.32+10821.28</f>
        <v>319449.75</v>
      </c>
      <c r="C63" s="3">
        <f>252322.44+57835.32+10821.28</f>
        <v>320979.04000000004</v>
      </c>
      <c r="D63" s="3">
        <v>237715.4</v>
      </c>
      <c r="E63" s="3">
        <f t="shared" si="2"/>
        <v>81734.350000000006</v>
      </c>
      <c r="F63" s="3">
        <f t="shared" si="0"/>
        <v>83263.640000000043</v>
      </c>
      <c r="G63" s="3">
        <f t="shared" si="1"/>
        <v>-1529.2900000000373</v>
      </c>
    </row>
    <row r="64" spans="1:7" outlineLevel="1" x14ac:dyDescent="0.25">
      <c r="A64" s="11" t="s">
        <v>248</v>
      </c>
      <c r="B64" s="3">
        <f>262716.34+49414.14+3430.27</f>
        <v>315560.75000000006</v>
      </c>
      <c r="C64" s="3">
        <f>249531.52+49414.14+3430.27</f>
        <v>302375.93</v>
      </c>
      <c r="D64" s="3">
        <v>540501.43999999994</v>
      </c>
      <c r="E64" s="3">
        <f t="shared" si="2"/>
        <v>-224940.68999999989</v>
      </c>
      <c r="F64" s="3">
        <f t="shared" si="0"/>
        <v>-238125.50999999995</v>
      </c>
      <c r="G64" s="3">
        <f t="shared" si="1"/>
        <v>13184.820000000065</v>
      </c>
    </row>
    <row r="65" spans="1:7" outlineLevel="1" x14ac:dyDescent="0.25">
      <c r="A65" s="11" t="s">
        <v>249</v>
      </c>
      <c r="B65" s="3">
        <f>157493.18+38603.48+485610.78</f>
        <v>681707.44000000006</v>
      </c>
      <c r="C65" s="3">
        <f>157813.06+38603.48+485610.78</f>
        <v>682027.32000000007</v>
      </c>
      <c r="D65" s="3">
        <v>641367.32999999996</v>
      </c>
      <c r="E65" s="3">
        <f t="shared" si="2"/>
        <v>40340.110000000102</v>
      </c>
      <c r="F65" s="3">
        <f t="shared" si="0"/>
        <v>40659.990000000107</v>
      </c>
      <c r="G65" s="3">
        <f t="shared" si="1"/>
        <v>-319.88000000000466</v>
      </c>
    </row>
    <row r="66" spans="1:7" outlineLevel="1" x14ac:dyDescent="0.25">
      <c r="A66" s="11" t="s">
        <v>49</v>
      </c>
      <c r="B66" s="3">
        <f>322782.58+59648.82+16543.78</f>
        <v>398975.18000000005</v>
      </c>
      <c r="C66" s="3">
        <f>1048243.32+59648.82+16543.78</f>
        <v>1124435.92</v>
      </c>
      <c r="D66" s="3">
        <v>278016.73</v>
      </c>
      <c r="E66" s="3">
        <f t="shared" si="2"/>
        <v>120958.45000000007</v>
      </c>
      <c r="F66" s="3">
        <f t="shared" si="0"/>
        <v>846419.19</v>
      </c>
      <c r="G66" s="3">
        <f t="shared" si="1"/>
        <v>-725460.73999999987</v>
      </c>
    </row>
    <row r="67" spans="1:7" outlineLevel="1" x14ac:dyDescent="0.25">
      <c r="A67" s="11" t="s">
        <v>50</v>
      </c>
      <c r="B67" s="3">
        <f>333202.21+79348.58+16350.7</f>
        <v>428901.49000000005</v>
      </c>
      <c r="C67" s="3">
        <f>352500.87+79348.58+16350.7</f>
        <v>448200.15</v>
      </c>
      <c r="D67" s="3">
        <v>296769.84999999998</v>
      </c>
      <c r="E67" s="3">
        <f t="shared" si="2"/>
        <v>132131.64000000007</v>
      </c>
      <c r="F67" s="3">
        <f t="shared" si="0"/>
        <v>151430.30000000005</v>
      </c>
      <c r="G67" s="3">
        <f t="shared" si="1"/>
        <v>-19298.659999999974</v>
      </c>
    </row>
    <row r="68" spans="1:7" outlineLevel="1" x14ac:dyDescent="0.25">
      <c r="A68" s="11" t="s">
        <v>51</v>
      </c>
      <c r="B68" s="3">
        <f>222140.17+60244.5+45821.29</f>
        <v>328205.96000000002</v>
      </c>
      <c r="C68" s="3">
        <f>229289.79+60244.5+45821.29</f>
        <v>335355.58</v>
      </c>
      <c r="D68" s="3">
        <v>243363.41</v>
      </c>
      <c r="E68" s="3">
        <f t="shared" si="2"/>
        <v>84842.550000000017</v>
      </c>
      <c r="F68" s="3">
        <f t="shared" si="0"/>
        <v>91992.170000000013</v>
      </c>
      <c r="G68" s="3">
        <f t="shared" si="1"/>
        <v>-7149.6199999999953</v>
      </c>
    </row>
    <row r="69" spans="1:7" outlineLevel="1" x14ac:dyDescent="0.25">
      <c r="A69" s="11" t="s">
        <v>52</v>
      </c>
      <c r="B69" s="3">
        <f>461449.63+86109.08+34671.48</f>
        <v>582230.18999999994</v>
      </c>
      <c r="C69" s="3">
        <f>451479.77+86109.08+34671.48</f>
        <v>572260.32999999996</v>
      </c>
      <c r="D69" s="3">
        <v>390298.5</v>
      </c>
      <c r="E69" s="3">
        <f t="shared" si="2"/>
        <v>191931.68999999994</v>
      </c>
      <c r="F69" s="3">
        <f t="shared" si="0"/>
        <v>181961.82999999996</v>
      </c>
      <c r="G69" s="3">
        <f t="shared" si="1"/>
        <v>9969.859999999986</v>
      </c>
    </row>
    <row r="70" spans="1:7" outlineLevel="1" x14ac:dyDescent="0.25">
      <c r="A70" s="11" t="s">
        <v>250</v>
      </c>
      <c r="B70" s="3">
        <f>146249.05+23854.76+1867163.7+2033.9</f>
        <v>2039301.41</v>
      </c>
      <c r="C70" s="3">
        <f>135480.31+23854.76+1867163.7+2033.9</f>
        <v>2028532.67</v>
      </c>
      <c r="D70" s="3">
        <v>2096459.99</v>
      </c>
      <c r="E70" s="3">
        <f t="shared" si="2"/>
        <v>-57158.580000000075</v>
      </c>
      <c r="F70" s="3">
        <f t="shared" ref="F70:F133" si="3">C70-D70</f>
        <v>-67927.320000000065</v>
      </c>
      <c r="G70" s="3">
        <f t="shared" ref="G70:G133" si="4">B70-C70</f>
        <v>10768.739999999991</v>
      </c>
    </row>
    <row r="71" spans="1:7" outlineLevel="1" x14ac:dyDescent="0.25">
      <c r="A71" s="11" t="s">
        <v>53</v>
      </c>
      <c r="B71" s="3">
        <f>391489.01+105767.38+40000+7230.81</f>
        <v>544487.20000000007</v>
      </c>
      <c r="C71" s="3">
        <f>377818.44+105767.38+7230.81+40000</f>
        <v>530816.63</v>
      </c>
      <c r="D71" s="3">
        <v>588692.55000000005</v>
      </c>
      <c r="E71" s="3">
        <f t="shared" ref="E71:E134" si="5">F71+G71</f>
        <v>-44205.349999999977</v>
      </c>
      <c r="F71" s="3">
        <f t="shared" si="3"/>
        <v>-57875.920000000042</v>
      </c>
      <c r="G71" s="3">
        <f t="shared" si="4"/>
        <v>13670.570000000065</v>
      </c>
    </row>
    <row r="72" spans="1:7" outlineLevel="1" x14ac:dyDescent="0.25">
      <c r="A72" s="11" t="s">
        <v>54</v>
      </c>
      <c r="B72" s="3">
        <f>383009.21+85393.64+63743.24</f>
        <v>532146.09000000008</v>
      </c>
      <c r="C72" s="3">
        <f>366050.23+85393.64+63743.24</f>
        <v>515187.11</v>
      </c>
      <c r="D72" s="3">
        <v>338000.76</v>
      </c>
      <c r="E72" s="3">
        <f t="shared" si="5"/>
        <v>194145.33000000007</v>
      </c>
      <c r="F72" s="3">
        <f t="shared" si="3"/>
        <v>177186.34999999998</v>
      </c>
      <c r="G72" s="3">
        <f t="shared" si="4"/>
        <v>16958.980000000098</v>
      </c>
    </row>
    <row r="73" spans="1:7" outlineLevel="1" x14ac:dyDescent="0.25">
      <c r="A73" s="11" t="s">
        <v>251</v>
      </c>
      <c r="B73" s="3">
        <f>213015.56+68739.43+15441.64</f>
        <v>297196.63</v>
      </c>
      <c r="C73" s="3">
        <f>205447.66+68739.43+15441.64</f>
        <v>289628.73</v>
      </c>
      <c r="D73" s="3">
        <v>198789.9</v>
      </c>
      <c r="E73" s="3">
        <f t="shared" si="5"/>
        <v>98406.73000000001</v>
      </c>
      <c r="F73" s="3">
        <f t="shared" si="3"/>
        <v>90838.829999999987</v>
      </c>
      <c r="G73" s="3">
        <f t="shared" si="4"/>
        <v>7567.9000000000233</v>
      </c>
    </row>
    <row r="74" spans="1:7" outlineLevel="1" x14ac:dyDescent="0.25">
      <c r="A74" s="11" t="s">
        <v>55</v>
      </c>
      <c r="B74" s="3">
        <f>370628.38+91500.38+1516029+138736.35</f>
        <v>2116894.11</v>
      </c>
      <c r="C74" s="3">
        <f>378844.47+91500.38+1516029+138736.35</f>
        <v>2125110.2000000002</v>
      </c>
      <c r="D74" s="3">
        <v>1964037.39</v>
      </c>
      <c r="E74" s="3">
        <f t="shared" si="5"/>
        <v>152856.71999999997</v>
      </c>
      <c r="F74" s="3">
        <f t="shared" si="3"/>
        <v>161072.81000000029</v>
      </c>
      <c r="G74" s="3">
        <f t="shared" si="4"/>
        <v>-8216.0900000003166</v>
      </c>
    </row>
    <row r="75" spans="1:7" outlineLevel="1" x14ac:dyDescent="0.25">
      <c r="A75" s="11" t="s">
        <v>56</v>
      </c>
      <c r="B75" s="3">
        <f>163956.37+35031.62+740623.23+2033.9</f>
        <v>941645.12</v>
      </c>
      <c r="C75" s="3">
        <f>157068.78+35031.62+740623.23+2033.9</f>
        <v>934757.53</v>
      </c>
      <c r="D75" s="3">
        <v>1004040.47</v>
      </c>
      <c r="E75" s="3">
        <f t="shared" si="5"/>
        <v>-62395.349999999977</v>
      </c>
      <c r="F75" s="3">
        <f t="shared" si="3"/>
        <v>-69282.939999999944</v>
      </c>
      <c r="G75" s="3">
        <f t="shared" si="4"/>
        <v>6887.5899999999674</v>
      </c>
    </row>
    <row r="76" spans="1:7" outlineLevel="1" x14ac:dyDescent="0.25">
      <c r="A76" s="11" t="s">
        <v>57</v>
      </c>
      <c r="B76" s="3">
        <f>269958.8+6016.22+1016.95</f>
        <v>276991.96999999997</v>
      </c>
      <c r="C76" s="3">
        <f>243497.09+6016.22+1016.95</f>
        <v>250530.26</v>
      </c>
      <c r="D76" s="3">
        <v>246825.53</v>
      </c>
      <c r="E76" s="3">
        <f t="shared" si="5"/>
        <v>30166.439999999973</v>
      </c>
      <c r="F76" s="3">
        <f t="shared" si="3"/>
        <v>3704.7300000000105</v>
      </c>
      <c r="G76" s="3">
        <f t="shared" si="4"/>
        <v>26461.709999999963</v>
      </c>
    </row>
    <row r="77" spans="1:7" outlineLevel="1" x14ac:dyDescent="0.25">
      <c r="A77" s="11" t="s">
        <v>58</v>
      </c>
      <c r="B77" s="3">
        <f>226589.94+51305.9+9033.25</f>
        <v>286929.09000000003</v>
      </c>
      <c r="C77" s="3">
        <f>228489.3+51305.9+9033.25</f>
        <v>288828.45</v>
      </c>
      <c r="D77" s="3">
        <v>260395.18</v>
      </c>
      <c r="E77" s="3">
        <f t="shared" si="5"/>
        <v>26533.910000000033</v>
      </c>
      <c r="F77" s="3">
        <f t="shared" si="3"/>
        <v>28433.270000000019</v>
      </c>
      <c r="G77" s="3">
        <f t="shared" si="4"/>
        <v>-1899.359999999986</v>
      </c>
    </row>
    <row r="78" spans="1:7" outlineLevel="1" x14ac:dyDescent="0.25">
      <c r="A78" s="11" t="s">
        <v>59</v>
      </c>
      <c r="B78" s="3">
        <f>139690.67+8874.07+1016.95</f>
        <v>149581.69000000003</v>
      </c>
      <c r="C78" s="3">
        <f>128391.79+8874.07+1016.95</f>
        <v>138282.81</v>
      </c>
      <c r="D78" s="3">
        <v>106923.78</v>
      </c>
      <c r="E78" s="3">
        <f t="shared" si="5"/>
        <v>42657.910000000033</v>
      </c>
      <c r="F78" s="3">
        <f t="shared" si="3"/>
        <v>31359.03</v>
      </c>
      <c r="G78" s="3">
        <f t="shared" si="4"/>
        <v>11298.880000000034</v>
      </c>
    </row>
    <row r="79" spans="1:7" outlineLevel="1" x14ac:dyDescent="0.25">
      <c r="A79" s="11" t="s">
        <v>252</v>
      </c>
      <c r="B79" s="3">
        <f>303570.47+77434.1+7316.56</f>
        <v>388321.12999999995</v>
      </c>
      <c r="C79" s="3">
        <f>294180.08+77434.1+7316.56</f>
        <v>378930.74000000005</v>
      </c>
      <c r="D79" s="3">
        <v>265444.58</v>
      </c>
      <c r="E79" s="3">
        <f t="shared" si="5"/>
        <v>122876.54999999993</v>
      </c>
      <c r="F79" s="3">
        <f t="shared" si="3"/>
        <v>113486.16000000003</v>
      </c>
      <c r="G79" s="3">
        <f t="shared" si="4"/>
        <v>9390.3899999998976</v>
      </c>
    </row>
    <row r="80" spans="1:7" outlineLevel="1" x14ac:dyDescent="0.25">
      <c r="A80" s="11" t="s">
        <v>60</v>
      </c>
      <c r="B80" s="3">
        <f>149131.17+29413.1+25897.22</f>
        <v>204441.49000000002</v>
      </c>
      <c r="C80" s="3">
        <f>152886.97+29413.1+25897.22</f>
        <v>208197.29</v>
      </c>
      <c r="D80" s="3">
        <v>172668.85</v>
      </c>
      <c r="E80" s="3">
        <f t="shared" si="5"/>
        <v>31772.640000000014</v>
      </c>
      <c r="F80" s="3">
        <f t="shared" si="3"/>
        <v>35528.44</v>
      </c>
      <c r="G80" s="3">
        <f t="shared" si="4"/>
        <v>-3755.7999999999884</v>
      </c>
    </row>
    <row r="81" spans="1:7" outlineLevel="1" x14ac:dyDescent="0.25">
      <c r="A81" s="11" t="s">
        <v>61</v>
      </c>
      <c r="B81" s="3">
        <f>208793.88+55289.89+20220.84</f>
        <v>284304.61000000004</v>
      </c>
      <c r="C81" s="3">
        <f>201522.39+55289.89+20220.84</f>
        <v>277033.12000000005</v>
      </c>
      <c r="D81" s="3">
        <v>267796.40000000002</v>
      </c>
      <c r="E81" s="3">
        <f t="shared" si="5"/>
        <v>16508.210000000021</v>
      </c>
      <c r="F81" s="3">
        <f t="shared" si="3"/>
        <v>9236.7200000000303</v>
      </c>
      <c r="G81" s="3">
        <f t="shared" si="4"/>
        <v>7271.4899999999907</v>
      </c>
    </row>
    <row r="82" spans="1:7" outlineLevel="1" x14ac:dyDescent="0.25">
      <c r="A82" s="11" t="s">
        <v>62</v>
      </c>
      <c r="B82" s="3">
        <f>125662.08+21812.34+42093.07</f>
        <v>189567.49000000002</v>
      </c>
      <c r="C82" s="3">
        <f>122859.21+21812.34+42093.07</f>
        <v>186764.62000000002</v>
      </c>
      <c r="D82" s="3">
        <v>237578.49</v>
      </c>
      <c r="E82" s="3">
        <f t="shared" si="5"/>
        <v>-48010.999999999971</v>
      </c>
      <c r="F82" s="3">
        <f t="shared" si="3"/>
        <v>-50813.869999999966</v>
      </c>
      <c r="G82" s="3">
        <f t="shared" si="4"/>
        <v>2802.8699999999953</v>
      </c>
    </row>
    <row r="83" spans="1:7" outlineLevel="1" x14ac:dyDescent="0.25">
      <c r="A83" s="11" t="s">
        <v>63</v>
      </c>
      <c r="B83" s="3">
        <f>147754.04+22296+93612.69</f>
        <v>263662.73</v>
      </c>
      <c r="C83" s="3">
        <f>144175.01+22296+93612.69</f>
        <v>260083.7</v>
      </c>
      <c r="D83" s="3">
        <v>196795.19</v>
      </c>
      <c r="E83" s="3">
        <f t="shared" si="5"/>
        <v>66867.539999999979</v>
      </c>
      <c r="F83" s="3">
        <f t="shared" si="3"/>
        <v>63288.510000000009</v>
      </c>
      <c r="G83" s="3">
        <f t="shared" si="4"/>
        <v>3579.0299999999697</v>
      </c>
    </row>
    <row r="84" spans="1:7" outlineLevel="1" x14ac:dyDescent="0.25">
      <c r="A84" s="11" t="s">
        <v>64</v>
      </c>
      <c r="B84" s="3">
        <f>145790.88+22179.49+99223+79072.3</f>
        <v>346265.67</v>
      </c>
      <c r="C84" s="3">
        <f>141305.58+22179.49+99223+79072.3</f>
        <v>341780.36999999994</v>
      </c>
      <c r="D84" s="3">
        <v>239699.81</v>
      </c>
      <c r="E84" s="3">
        <f t="shared" si="5"/>
        <v>106565.85999999999</v>
      </c>
      <c r="F84" s="3">
        <f t="shared" si="3"/>
        <v>102080.55999999994</v>
      </c>
      <c r="G84" s="3">
        <f t="shared" si="4"/>
        <v>4485.3000000000466</v>
      </c>
    </row>
    <row r="85" spans="1:7" outlineLevel="1" x14ac:dyDescent="0.25">
      <c r="A85" s="11" t="s">
        <v>65</v>
      </c>
      <c r="B85" s="3">
        <f>302640.72+66262.39+130593.19</f>
        <v>499496.3</v>
      </c>
      <c r="C85" s="3">
        <f>290953.27+66262.39+130593.19</f>
        <v>487808.85000000003</v>
      </c>
      <c r="D85" s="3">
        <v>330883.7</v>
      </c>
      <c r="E85" s="3">
        <f t="shared" si="5"/>
        <v>168612.59999999998</v>
      </c>
      <c r="F85" s="3">
        <f t="shared" si="3"/>
        <v>156925.15000000002</v>
      </c>
      <c r="G85" s="3">
        <f t="shared" si="4"/>
        <v>11687.449999999953</v>
      </c>
    </row>
    <row r="86" spans="1:7" outlineLevel="1" x14ac:dyDescent="0.25">
      <c r="A86" s="11" t="s">
        <v>66</v>
      </c>
      <c r="B86" s="3">
        <f>184816.19+30777.72+90472.88</f>
        <v>306066.79000000004</v>
      </c>
      <c r="C86" s="3">
        <f>183603.7+30777.72+90472.88</f>
        <v>304854.30000000005</v>
      </c>
      <c r="D86" s="3">
        <v>162160.74</v>
      </c>
      <c r="E86" s="3">
        <f t="shared" si="5"/>
        <v>143906.05000000005</v>
      </c>
      <c r="F86" s="3">
        <f t="shared" si="3"/>
        <v>142693.56000000006</v>
      </c>
      <c r="G86" s="3">
        <f t="shared" si="4"/>
        <v>1212.4899999999907</v>
      </c>
    </row>
    <row r="87" spans="1:7" outlineLevel="1" x14ac:dyDescent="0.25">
      <c r="A87" s="11" t="s">
        <v>67</v>
      </c>
      <c r="B87" s="3">
        <f>172130.19+22629.12+91918.2</f>
        <v>286677.51</v>
      </c>
      <c r="C87" s="3">
        <f>172924.96+22629.12+91918.2</f>
        <v>287472.27999999997</v>
      </c>
      <c r="D87" s="3">
        <v>164958.12</v>
      </c>
      <c r="E87" s="3">
        <f t="shared" si="5"/>
        <v>121719.39000000001</v>
      </c>
      <c r="F87" s="3">
        <f t="shared" si="3"/>
        <v>122514.15999999997</v>
      </c>
      <c r="G87" s="3">
        <f t="shared" si="4"/>
        <v>-794.76999999996042</v>
      </c>
    </row>
    <row r="88" spans="1:7" x14ac:dyDescent="0.25">
      <c r="A88" s="11" t="s">
        <v>68</v>
      </c>
      <c r="B88" s="3">
        <f>199103.91+40499.24+65882.69</f>
        <v>305485.83999999997</v>
      </c>
      <c r="C88" s="3">
        <f>197317.01+40499.24+65882.69</f>
        <v>303698.94</v>
      </c>
      <c r="D88" s="3">
        <v>180030.58</v>
      </c>
      <c r="E88" s="3">
        <f t="shared" si="5"/>
        <v>125455.25999999998</v>
      </c>
      <c r="F88" s="3">
        <f t="shared" si="3"/>
        <v>123668.36000000002</v>
      </c>
      <c r="G88" s="3">
        <f t="shared" si="4"/>
        <v>1786.8999999999651</v>
      </c>
    </row>
    <row r="89" spans="1:7" x14ac:dyDescent="0.25">
      <c r="A89" s="11" t="s">
        <v>253</v>
      </c>
      <c r="B89" s="3">
        <f>123875.83+30927.36</f>
        <v>154803.19</v>
      </c>
      <c r="C89" s="3">
        <f>125215.14+30927.36</f>
        <v>156142.5</v>
      </c>
      <c r="D89" s="3">
        <v>115433.8</v>
      </c>
      <c r="E89" s="3">
        <f t="shared" si="5"/>
        <v>39369.39</v>
      </c>
      <c r="F89" s="3">
        <f t="shared" si="3"/>
        <v>40708.699999999997</v>
      </c>
      <c r="G89" s="3">
        <f t="shared" si="4"/>
        <v>-1339.3099999999977</v>
      </c>
    </row>
    <row r="90" spans="1:7" x14ac:dyDescent="0.25">
      <c r="A90" s="11" t="s">
        <v>69</v>
      </c>
      <c r="B90" s="3">
        <f>162623.01+45852.54+90762.54</f>
        <v>299238.09000000003</v>
      </c>
      <c r="C90" s="3">
        <f>171592.63+45852.54+90762.54</f>
        <v>308207.71000000002</v>
      </c>
      <c r="D90" s="3">
        <v>222278.65</v>
      </c>
      <c r="E90" s="3">
        <f t="shared" si="5"/>
        <v>76959.440000000031</v>
      </c>
      <c r="F90" s="3">
        <f t="shared" si="3"/>
        <v>85929.060000000027</v>
      </c>
      <c r="G90" s="3">
        <f t="shared" si="4"/>
        <v>-8969.6199999999953</v>
      </c>
    </row>
    <row r="91" spans="1:7" x14ac:dyDescent="0.25">
      <c r="A91" s="11" t="s">
        <v>70</v>
      </c>
      <c r="B91" s="3">
        <f>203616.09+30581.37+1637186.63+17212.17</f>
        <v>1888596.2599999998</v>
      </c>
      <c r="C91" s="3">
        <f>200788.09+30581.37+1637186.63+17212.17</f>
        <v>1885768.2599999998</v>
      </c>
      <c r="D91" s="3">
        <v>2016650.49</v>
      </c>
      <c r="E91" s="3">
        <f t="shared" si="5"/>
        <v>-128054.23000000021</v>
      </c>
      <c r="F91" s="3">
        <f t="shared" si="3"/>
        <v>-130882.23000000021</v>
      </c>
      <c r="G91" s="3">
        <f t="shared" si="4"/>
        <v>2828</v>
      </c>
    </row>
    <row r="92" spans="1:7" x14ac:dyDescent="0.25">
      <c r="A92" s="11" t="s">
        <v>71</v>
      </c>
      <c r="B92" s="3">
        <f>169306.16+38028.89+4302.74</f>
        <v>211637.78999999998</v>
      </c>
      <c r="C92" s="3">
        <f>169610.66+38028.89+4302.74</f>
        <v>211942.28999999998</v>
      </c>
      <c r="D92" s="3">
        <v>144709.70000000001</v>
      </c>
      <c r="E92" s="3">
        <f t="shared" si="5"/>
        <v>66928.089999999967</v>
      </c>
      <c r="F92" s="3">
        <f t="shared" si="3"/>
        <v>67232.589999999967</v>
      </c>
      <c r="G92" s="3">
        <f t="shared" si="4"/>
        <v>-304.5</v>
      </c>
    </row>
    <row r="93" spans="1:7" x14ac:dyDescent="0.25">
      <c r="A93" s="11" t="s">
        <v>72</v>
      </c>
      <c r="B93" s="3">
        <f>98512.94+19849.18+8682.26</f>
        <v>127044.37999999999</v>
      </c>
      <c r="C93" s="3">
        <f>96339.66+19849.18+8682.26</f>
        <v>124871.09999999999</v>
      </c>
      <c r="D93" s="3">
        <v>100659.13</v>
      </c>
      <c r="E93" s="3">
        <f t="shared" si="5"/>
        <v>26385.249999999985</v>
      </c>
      <c r="F93" s="3">
        <f t="shared" si="3"/>
        <v>24211.969999999987</v>
      </c>
      <c r="G93" s="3">
        <f t="shared" si="4"/>
        <v>2173.2799999999988</v>
      </c>
    </row>
    <row r="94" spans="1:7" x14ac:dyDescent="0.25">
      <c r="A94" s="11" t="s">
        <v>73</v>
      </c>
      <c r="B94" s="3">
        <f>67373.3+15739.95+1016.95</f>
        <v>84130.2</v>
      </c>
      <c r="C94" s="3">
        <f>67529.17+15739.95+1016.95</f>
        <v>84286.069999999992</v>
      </c>
      <c r="D94" s="3">
        <v>67667.8</v>
      </c>
      <c r="E94" s="3">
        <f t="shared" si="5"/>
        <v>16462.399999999994</v>
      </c>
      <c r="F94" s="3">
        <f t="shared" si="3"/>
        <v>16618.26999999999</v>
      </c>
      <c r="G94" s="3">
        <f t="shared" si="4"/>
        <v>-155.86999999999534</v>
      </c>
    </row>
    <row r="95" spans="1:7" x14ac:dyDescent="0.25">
      <c r="A95" s="11" t="s">
        <v>74</v>
      </c>
      <c r="B95" s="3">
        <f>211339.23+33429.11+106813.43+14081.15</f>
        <v>365662.92000000004</v>
      </c>
      <c r="C95" s="3">
        <f>202142.87+33429.11+106813.43+14081.15</f>
        <v>356466.56</v>
      </c>
      <c r="D95" s="3">
        <v>335804.94</v>
      </c>
      <c r="E95" s="3">
        <f t="shared" si="5"/>
        <v>29857.98000000004</v>
      </c>
      <c r="F95" s="3">
        <f t="shared" si="3"/>
        <v>20661.619999999995</v>
      </c>
      <c r="G95" s="3">
        <f t="shared" si="4"/>
        <v>9196.3600000000442</v>
      </c>
    </row>
    <row r="96" spans="1:7" x14ac:dyDescent="0.25">
      <c r="A96" s="11" t="s">
        <v>75</v>
      </c>
      <c r="B96" s="3">
        <f>181389.73+35092.74+184319.57+50908.4</f>
        <v>451710.44000000006</v>
      </c>
      <c r="C96" s="3">
        <f>163884.2+35092.74+184319.57+50908.4</f>
        <v>434204.91000000003</v>
      </c>
      <c r="D96" s="3">
        <v>404506.35</v>
      </c>
      <c r="E96" s="3">
        <f t="shared" si="5"/>
        <v>47204.090000000084</v>
      </c>
      <c r="F96" s="3">
        <f t="shared" si="3"/>
        <v>29698.560000000056</v>
      </c>
      <c r="G96" s="3">
        <f t="shared" si="4"/>
        <v>17505.530000000028</v>
      </c>
    </row>
    <row r="97" spans="1:7" x14ac:dyDescent="0.25">
      <c r="A97" s="11" t="s">
        <v>76</v>
      </c>
      <c r="B97" s="3">
        <f>82765+5792.32+26771.37</f>
        <v>115328.69</v>
      </c>
      <c r="C97" s="3">
        <f>81343.47+5792.32+26771.37</f>
        <v>113907.16</v>
      </c>
      <c r="D97" s="3">
        <v>86035.21</v>
      </c>
      <c r="E97" s="3">
        <f t="shared" si="5"/>
        <v>29293.479999999996</v>
      </c>
      <c r="F97" s="3">
        <f t="shared" si="3"/>
        <v>27871.949999999997</v>
      </c>
      <c r="G97" s="3">
        <f t="shared" si="4"/>
        <v>1421.5299999999988</v>
      </c>
    </row>
    <row r="98" spans="1:7" x14ac:dyDescent="0.25">
      <c r="A98" s="11" t="s">
        <v>77</v>
      </c>
      <c r="B98" s="3">
        <f>291235.57+54581.21+64722.52</f>
        <v>410539.30000000005</v>
      </c>
      <c r="C98" s="3">
        <f>288356.71+54581.21+64722.52</f>
        <v>407660.44000000006</v>
      </c>
      <c r="D98" s="3">
        <v>364810.73</v>
      </c>
      <c r="E98" s="3">
        <f t="shared" si="5"/>
        <v>45728.570000000065</v>
      </c>
      <c r="F98" s="3">
        <f t="shared" si="3"/>
        <v>42849.710000000079</v>
      </c>
      <c r="G98" s="3">
        <f t="shared" si="4"/>
        <v>2878.859999999986</v>
      </c>
    </row>
    <row r="99" spans="1:7" x14ac:dyDescent="0.25">
      <c r="A99" s="11" t="s">
        <v>78</v>
      </c>
      <c r="B99" s="3">
        <f>226497.14+52205.99+1016.95</f>
        <v>279720.08</v>
      </c>
      <c r="C99" s="3">
        <f>214774.96+52205.99+1016.95</f>
        <v>267997.90000000002</v>
      </c>
      <c r="D99" s="3">
        <v>220969.09</v>
      </c>
      <c r="E99" s="3">
        <f t="shared" si="5"/>
        <v>58750.99000000002</v>
      </c>
      <c r="F99" s="3">
        <f t="shared" si="3"/>
        <v>47028.810000000027</v>
      </c>
      <c r="G99" s="3">
        <f t="shared" si="4"/>
        <v>11722.179999999993</v>
      </c>
    </row>
    <row r="100" spans="1:7" x14ac:dyDescent="0.25">
      <c r="A100" s="11" t="s">
        <v>79</v>
      </c>
      <c r="B100" s="3">
        <f>120672.77+32777.7+31387.45</f>
        <v>184837.92</v>
      </c>
      <c r="C100" s="3">
        <f>113571.64+32777.7+31387.45</f>
        <v>177736.79</v>
      </c>
      <c r="D100" s="3">
        <v>129965.29</v>
      </c>
      <c r="E100" s="3">
        <f t="shared" si="5"/>
        <v>54872.630000000019</v>
      </c>
      <c r="F100" s="3">
        <f t="shared" si="3"/>
        <v>47771.500000000015</v>
      </c>
      <c r="G100" s="3">
        <f t="shared" si="4"/>
        <v>7101.1300000000047</v>
      </c>
    </row>
    <row r="101" spans="1:7" x14ac:dyDescent="0.25">
      <c r="A101" s="11" t="s">
        <v>80</v>
      </c>
      <c r="B101" s="3">
        <f>150212.15+29364.17+10424.2</f>
        <v>190000.52000000002</v>
      </c>
      <c r="C101" s="3">
        <f>143877.85+29364.17+10424.2</f>
        <v>183666.22000000003</v>
      </c>
      <c r="D101" s="3">
        <v>241833.2</v>
      </c>
      <c r="E101" s="3">
        <f t="shared" si="5"/>
        <v>-51832.679999999993</v>
      </c>
      <c r="F101" s="3">
        <f t="shared" si="3"/>
        <v>-58166.979999999981</v>
      </c>
      <c r="G101" s="3">
        <f t="shared" si="4"/>
        <v>6334.2999999999884</v>
      </c>
    </row>
    <row r="102" spans="1:7" x14ac:dyDescent="0.25">
      <c r="A102" s="11" t="s">
        <v>81</v>
      </c>
      <c r="B102" s="3">
        <f>217743.48+46704.13+13117.51</f>
        <v>277565.12</v>
      </c>
      <c r="C102" s="3">
        <f>217106.09+46704.13+13117.51</f>
        <v>276927.73</v>
      </c>
      <c r="D102" s="3">
        <v>203646.36</v>
      </c>
      <c r="E102" s="3">
        <f t="shared" si="5"/>
        <v>73918.760000000009</v>
      </c>
      <c r="F102" s="3">
        <f t="shared" si="3"/>
        <v>73281.37</v>
      </c>
      <c r="G102" s="3">
        <f t="shared" si="4"/>
        <v>637.39000000001397</v>
      </c>
    </row>
    <row r="103" spans="1:7" x14ac:dyDescent="0.25">
      <c r="A103" s="11" t="s">
        <v>82</v>
      </c>
      <c r="B103" s="3">
        <f>285177.33+58826.22+41933.89</f>
        <v>385937.44000000006</v>
      </c>
      <c r="C103" s="3">
        <f>250420.45+58826.22+41933.89</f>
        <v>351180.56000000006</v>
      </c>
      <c r="D103" s="3">
        <v>284147.21000000002</v>
      </c>
      <c r="E103" s="3">
        <f t="shared" si="5"/>
        <v>101790.23000000004</v>
      </c>
      <c r="F103" s="3">
        <f t="shared" si="3"/>
        <v>67033.350000000035</v>
      </c>
      <c r="G103" s="3">
        <f t="shared" si="4"/>
        <v>34756.880000000005</v>
      </c>
    </row>
    <row r="104" spans="1:7" x14ac:dyDescent="0.25">
      <c r="A104" s="11" t="s">
        <v>254</v>
      </c>
      <c r="B104" s="3">
        <f>179705.34+47443.47+81151.53</f>
        <v>308300.33999999997</v>
      </c>
      <c r="C104" s="3">
        <f>174782.18+47443.47+81151.53</f>
        <v>303377.18</v>
      </c>
      <c r="D104" s="3">
        <v>254619.68</v>
      </c>
      <c r="E104" s="3">
        <f t="shared" si="5"/>
        <v>53680.659999999974</v>
      </c>
      <c r="F104" s="3">
        <f t="shared" si="3"/>
        <v>48757.5</v>
      </c>
      <c r="G104" s="3">
        <f t="shared" si="4"/>
        <v>4923.1599999999744</v>
      </c>
    </row>
    <row r="105" spans="1:7" x14ac:dyDescent="0.25">
      <c r="A105" s="11" t="s">
        <v>255</v>
      </c>
      <c r="B105" s="3">
        <f>204617.8+45537.95+117800.85</f>
        <v>367956.6</v>
      </c>
      <c r="C105" s="3">
        <f>194822.55+45537.95+117800.85</f>
        <v>358161.35</v>
      </c>
      <c r="D105" s="3">
        <v>192635.61</v>
      </c>
      <c r="E105" s="3">
        <f t="shared" si="5"/>
        <v>175320.99</v>
      </c>
      <c r="F105" s="3">
        <f t="shared" si="3"/>
        <v>165525.74</v>
      </c>
      <c r="G105" s="3">
        <f t="shared" si="4"/>
        <v>9795.25</v>
      </c>
    </row>
    <row r="106" spans="1:7" x14ac:dyDescent="0.25">
      <c r="A106" s="11" t="s">
        <v>83</v>
      </c>
      <c r="B106" s="3">
        <f>238123.04+61151.2+2033.9</f>
        <v>301308.14</v>
      </c>
      <c r="C106" s="3">
        <f>223045.78+61151.2+2033.9</f>
        <v>286230.88</v>
      </c>
      <c r="D106" s="3">
        <v>208856.19</v>
      </c>
      <c r="E106" s="3">
        <f t="shared" si="5"/>
        <v>92451.950000000012</v>
      </c>
      <c r="F106" s="3">
        <f t="shared" si="3"/>
        <v>77374.69</v>
      </c>
      <c r="G106" s="3">
        <f t="shared" si="4"/>
        <v>15077.260000000009</v>
      </c>
    </row>
    <row r="107" spans="1:7" x14ac:dyDescent="0.25">
      <c r="A107" s="11" t="s">
        <v>256</v>
      </c>
      <c r="B107" s="3">
        <f>356035.48+94464.12+8089.94</f>
        <v>458589.54</v>
      </c>
      <c r="C107" s="3">
        <f>351928.34+94464.12+8089.94</f>
        <v>454482.4</v>
      </c>
      <c r="D107" s="3">
        <v>252971.87</v>
      </c>
      <c r="E107" s="3">
        <f t="shared" si="5"/>
        <v>205617.66999999998</v>
      </c>
      <c r="F107" s="3">
        <f t="shared" si="3"/>
        <v>201510.53000000003</v>
      </c>
      <c r="G107" s="3">
        <f t="shared" si="4"/>
        <v>4107.1399999999558</v>
      </c>
    </row>
    <row r="108" spans="1:7" x14ac:dyDescent="0.25">
      <c r="A108" s="11" t="s">
        <v>84</v>
      </c>
      <c r="B108" s="3">
        <f>233145.73+67868.74+119315+2033.9</f>
        <v>422363.37000000005</v>
      </c>
      <c r="C108" s="3">
        <f>216071.86+67868.74+2033.9+119315</f>
        <v>405289.5</v>
      </c>
      <c r="D108" s="3">
        <v>341010.27</v>
      </c>
      <c r="E108" s="3">
        <f t="shared" si="5"/>
        <v>81353.100000000035</v>
      </c>
      <c r="F108" s="3">
        <f t="shared" si="3"/>
        <v>64279.229999999981</v>
      </c>
      <c r="G108" s="3">
        <f t="shared" si="4"/>
        <v>17073.870000000054</v>
      </c>
    </row>
    <row r="109" spans="1:7" x14ac:dyDescent="0.25">
      <c r="A109" s="11" t="s">
        <v>257</v>
      </c>
      <c r="B109" s="3">
        <f>126372.59+26568.17+2033.9</f>
        <v>154974.66</v>
      </c>
      <c r="C109" s="3">
        <f>123126.43+26568.17+2033.9</f>
        <v>151728.49999999997</v>
      </c>
      <c r="D109" s="3">
        <v>145225.70000000001</v>
      </c>
      <c r="E109" s="3">
        <f t="shared" si="5"/>
        <v>9748.9599999999919</v>
      </c>
      <c r="F109" s="3">
        <f t="shared" si="3"/>
        <v>6502.7999999999593</v>
      </c>
      <c r="G109" s="3">
        <f t="shared" si="4"/>
        <v>3246.1600000000326</v>
      </c>
    </row>
    <row r="110" spans="1:7" x14ac:dyDescent="0.25">
      <c r="A110" s="11" t="s">
        <v>85</v>
      </c>
      <c r="B110" s="3">
        <f>346004.57+47670.26+109908.3+52676.58</f>
        <v>556259.71</v>
      </c>
      <c r="C110" s="3">
        <f>288868.1+47670.26+109908.3+52676.58</f>
        <v>499123.24</v>
      </c>
      <c r="D110" s="3">
        <v>469700.52</v>
      </c>
      <c r="E110" s="3">
        <f t="shared" si="5"/>
        <v>86559.189999999944</v>
      </c>
      <c r="F110" s="3">
        <f t="shared" si="3"/>
        <v>29422.719999999972</v>
      </c>
      <c r="G110" s="3">
        <f t="shared" si="4"/>
        <v>57136.469999999972</v>
      </c>
    </row>
    <row r="111" spans="1:7" x14ac:dyDescent="0.25">
      <c r="A111" s="11" t="s">
        <v>86</v>
      </c>
      <c r="B111" s="3">
        <f>231288.95+46526.19+76864.66+14643.08</f>
        <v>369322.88000000006</v>
      </c>
      <c r="C111" s="3">
        <f>222215.17+46526.19+76861.66+14643.08</f>
        <v>360246.10000000003</v>
      </c>
      <c r="D111" s="3">
        <v>334463.03000000003</v>
      </c>
      <c r="E111" s="3">
        <f t="shared" si="5"/>
        <v>34859.850000000035</v>
      </c>
      <c r="F111" s="3">
        <f t="shared" si="3"/>
        <v>25783.070000000007</v>
      </c>
      <c r="G111" s="3">
        <f t="shared" si="4"/>
        <v>9076.7800000000279</v>
      </c>
    </row>
    <row r="112" spans="1:7" x14ac:dyDescent="0.25">
      <c r="A112" s="11" t="s">
        <v>87</v>
      </c>
      <c r="B112" s="3">
        <f>471876.82+90214.58+124722.54</f>
        <v>686813.94000000006</v>
      </c>
      <c r="C112" s="3">
        <f>477810.36+90214.58+124722.54</f>
        <v>692747.48</v>
      </c>
      <c r="D112" s="3">
        <v>798262.88</v>
      </c>
      <c r="E112" s="3">
        <f t="shared" si="5"/>
        <v>-111448.93999999994</v>
      </c>
      <c r="F112" s="3">
        <f t="shared" si="3"/>
        <v>-105515.40000000002</v>
      </c>
      <c r="G112" s="3">
        <f t="shared" si="4"/>
        <v>-5933.5399999999208</v>
      </c>
    </row>
    <row r="113" spans="1:7" x14ac:dyDescent="0.25">
      <c r="A113" s="11" t="s">
        <v>88</v>
      </c>
      <c r="B113" s="3">
        <f>798331.36+131793.74+24279.66</f>
        <v>954404.76</v>
      </c>
      <c r="C113" s="3">
        <f>793438.75+131793.74+24279.66</f>
        <v>949512.15</v>
      </c>
      <c r="D113" s="3">
        <v>774288.15</v>
      </c>
      <c r="E113" s="3">
        <f t="shared" si="5"/>
        <v>180116.61</v>
      </c>
      <c r="F113" s="3">
        <f t="shared" si="3"/>
        <v>175224</v>
      </c>
      <c r="G113" s="3">
        <f t="shared" si="4"/>
        <v>4892.609999999986</v>
      </c>
    </row>
    <row r="114" spans="1:7" x14ac:dyDescent="0.25">
      <c r="A114" s="11" t="s">
        <v>89</v>
      </c>
      <c r="B114" s="3">
        <f>430520.79+97119.09+20497.21</f>
        <v>548137.09</v>
      </c>
      <c r="C114" s="3">
        <f>415750.13+97119.09+20497.21</f>
        <v>533366.42999999993</v>
      </c>
      <c r="D114" s="3">
        <v>379982.98</v>
      </c>
      <c r="E114" s="3">
        <f t="shared" si="5"/>
        <v>168154.11</v>
      </c>
      <c r="F114" s="3">
        <f t="shared" si="3"/>
        <v>153383.44999999995</v>
      </c>
      <c r="G114" s="3">
        <f t="shared" si="4"/>
        <v>14770.660000000033</v>
      </c>
    </row>
    <row r="115" spans="1:7" x14ac:dyDescent="0.25">
      <c r="A115" s="11" t="s">
        <v>90</v>
      </c>
      <c r="B115" s="3">
        <f>508431.08+134180.68+78165</f>
        <v>720776.76</v>
      </c>
      <c r="C115" s="3">
        <f>468191.46+134180.68+78165</f>
        <v>680537.14</v>
      </c>
      <c r="D115" s="3">
        <v>531749.57999999996</v>
      </c>
      <c r="E115" s="3">
        <f t="shared" si="5"/>
        <v>189027.18000000005</v>
      </c>
      <c r="F115" s="3">
        <f t="shared" si="3"/>
        <v>148787.56000000006</v>
      </c>
      <c r="G115" s="3">
        <f t="shared" si="4"/>
        <v>40239.619999999995</v>
      </c>
    </row>
    <row r="116" spans="1:7" x14ac:dyDescent="0.25">
      <c r="A116" s="11" t="s">
        <v>258</v>
      </c>
      <c r="B116" s="3">
        <f>116643.85+26902.71+1016.95</f>
        <v>144563.51</v>
      </c>
      <c r="C116" s="3">
        <f>114567.56+26902.71+1016.95</f>
        <v>142487.22</v>
      </c>
      <c r="D116" s="3">
        <v>121069.51</v>
      </c>
      <c r="E116" s="3">
        <f t="shared" si="5"/>
        <v>23494.000000000015</v>
      </c>
      <c r="F116" s="3">
        <f t="shared" si="3"/>
        <v>21417.710000000006</v>
      </c>
      <c r="G116" s="3">
        <f t="shared" si="4"/>
        <v>2076.2900000000081</v>
      </c>
    </row>
    <row r="117" spans="1:7" x14ac:dyDescent="0.25">
      <c r="A117" s="11" t="s">
        <v>91</v>
      </c>
      <c r="B117" s="3">
        <f>261741.28+48790.98+106759.68</f>
        <v>417291.94</v>
      </c>
      <c r="C117" s="3">
        <f>256000.21+48790.98+106759.68</f>
        <v>411550.87</v>
      </c>
      <c r="D117" s="3">
        <v>539428.84</v>
      </c>
      <c r="E117" s="3">
        <f t="shared" si="5"/>
        <v>-122136.89999999997</v>
      </c>
      <c r="F117" s="3">
        <f t="shared" si="3"/>
        <v>-127877.96999999997</v>
      </c>
      <c r="G117" s="3">
        <f t="shared" si="4"/>
        <v>5741.070000000007</v>
      </c>
    </row>
    <row r="118" spans="1:7" x14ac:dyDescent="0.25">
      <c r="A118" s="11" t="s">
        <v>92</v>
      </c>
      <c r="B118" s="3">
        <f>210169.44+38651.37+6091.19</f>
        <v>254912</v>
      </c>
      <c r="C118" s="3">
        <f>206727.43+38651.37+6091.19</f>
        <v>251469.99</v>
      </c>
      <c r="D118" s="3">
        <v>296950.55</v>
      </c>
      <c r="E118" s="3">
        <f t="shared" si="5"/>
        <v>-42038.549999999988</v>
      </c>
      <c r="F118" s="3">
        <f t="shared" si="3"/>
        <v>-45480.56</v>
      </c>
      <c r="G118" s="3">
        <f t="shared" si="4"/>
        <v>3442.0100000000093</v>
      </c>
    </row>
    <row r="119" spans="1:7" x14ac:dyDescent="0.25">
      <c r="A119" s="11" t="s">
        <v>259</v>
      </c>
      <c r="B119" s="3">
        <f>170513.78+25037.36+1016.95</f>
        <v>196568.09000000003</v>
      </c>
      <c r="C119" s="3">
        <f>172327.43+25037.36+1016.95</f>
        <v>198381.74</v>
      </c>
      <c r="D119" s="3">
        <v>201389.97</v>
      </c>
      <c r="E119" s="3">
        <f t="shared" si="5"/>
        <v>-4821.8799999999756</v>
      </c>
      <c r="F119" s="3">
        <f t="shared" si="3"/>
        <v>-3008.2300000000105</v>
      </c>
      <c r="G119" s="3">
        <f t="shared" si="4"/>
        <v>-1813.6499999999651</v>
      </c>
    </row>
    <row r="120" spans="1:7" x14ac:dyDescent="0.25">
      <c r="A120" s="11" t="s">
        <v>260</v>
      </c>
      <c r="B120" s="3">
        <f>255748.68+35149.37+1016.95</f>
        <v>291915</v>
      </c>
      <c r="C120" s="3">
        <f>226503.84+35149.37+1016.95</f>
        <v>262670.15999999997</v>
      </c>
      <c r="D120" s="3">
        <v>339722.56</v>
      </c>
      <c r="E120" s="3">
        <f t="shared" si="5"/>
        <v>-47807.56</v>
      </c>
      <c r="F120" s="3">
        <f t="shared" si="3"/>
        <v>-77052.400000000023</v>
      </c>
      <c r="G120" s="3">
        <f t="shared" si="4"/>
        <v>29244.840000000026</v>
      </c>
    </row>
    <row r="121" spans="1:7" x14ac:dyDescent="0.25">
      <c r="A121" s="11" t="s">
        <v>93</v>
      </c>
      <c r="B121" s="3">
        <f>382784.32+84484.2+16824.47</f>
        <v>484092.99</v>
      </c>
      <c r="C121" s="3">
        <f>337178.66+84484.2+16824.47</f>
        <v>438487.32999999996</v>
      </c>
      <c r="D121" s="3">
        <v>379284.23</v>
      </c>
      <c r="E121" s="3">
        <f t="shared" si="5"/>
        <v>104808.76000000001</v>
      </c>
      <c r="F121" s="3">
        <f t="shared" si="3"/>
        <v>59203.099999999977</v>
      </c>
      <c r="G121" s="3">
        <f t="shared" si="4"/>
        <v>45605.660000000033</v>
      </c>
    </row>
    <row r="122" spans="1:7" x14ac:dyDescent="0.25">
      <c r="A122" s="11" t="s">
        <v>261</v>
      </c>
      <c r="B122" s="3">
        <f>137168.61+31919.18</f>
        <v>169087.78999999998</v>
      </c>
      <c r="C122" s="3">
        <f>134304.84+31919.18</f>
        <v>166224.01999999999</v>
      </c>
      <c r="D122" s="3">
        <v>109370.53</v>
      </c>
      <c r="E122" s="3">
        <f t="shared" si="5"/>
        <v>59717.25999999998</v>
      </c>
      <c r="F122" s="3">
        <f t="shared" si="3"/>
        <v>56853.489999999991</v>
      </c>
      <c r="G122" s="3">
        <f t="shared" si="4"/>
        <v>2863.7699999999895</v>
      </c>
    </row>
    <row r="123" spans="1:7" x14ac:dyDescent="0.25">
      <c r="A123" s="11" t="s">
        <v>262</v>
      </c>
      <c r="B123" s="3">
        <f>138032.35+28404.87</f>
        <v>166437.22</v>
      </c>
      <c r="C123" s="3">
        <f>139106.42+28404.87</f>
        <v>167511.29</v>
      </c>
      <c r="D123" s="3">
        <v>130700.39</v>
      </c>
      <c r="E123" s="3">
        <f t="shared" si="5"/>
        <v>35736.83</v>
      </c>
      <c r="F123" s="3">
        <f t="shared" si="3"/>
        <v>36810.900000000009</v>
      </c>
      <c r="G123" s="3">
        <f t="shared" si="4"/>
        <v>-1074.070000000007</v>
      </c>
    </row>
    <row r="124" spans="1:7" x14ac:dyDescent="0.25">
      <c r="A124" s="11" t="s">
        <v>263</v>
      </c>
      <c r="B124" s="3">
        <f>127701.12+36170.81</f>
        <v>163871.93</v>
      </c>
      <c r="C124" s="3">
        <f>126429.66+36170.81</f>
        <v>162600.47</v>
      </c>
      <c r="D124" s="3">
        <v>114071.38</v>
      </c>
      <c r="E124" s="3">
        <f t="shared" si="5"/>
        <v>49800.549999999988</v>
      </c>
      <c r="F124" s="3">
        <f t="shared" si="3"/>
        <v>48529.09</v>
      </c>
      <c r="G124" s="3">
        <f t="shared" si="4"/>
        <v>1271.4599999999919</v>
      </c>
    </row>
    <row r="125" spans="1:7" x14ac:dyDescent="0.25">
      <c r="A125" s="11" t="s">
        <v>264</v>
      </c>
      <c r="B125" s="3">
        <f>137075.86+26938.69+1016.95</f>
        <v>165031.5</v>
      </c>
      <c r="C125" s="3">
        <f>133681.57+26938.69+1016.95</f>
        <v>161637.21000000002</v>
      </c>
      <c r="D125" s="3">
        <v>131009.92</v>
      </c>
      <c r="E125" s="3">
        <f t="shared" si="5"/>
        <v>34021.58</v>
      </c>
      <c r="F125" s="3">
        <f t="shared" si="3"/>
        <v>30627.290000000023</v>
      </c>
      <c r="G125" s="3">
        <f t="shared" si="4"/>
        <v>3394.289999999979</v>
      </c>
    </row>
    <row r="126" spans="1:7" x14ac:dyDescent="0.25">
      <c r="A126" s="11" t="s">
        <v>94</v>
      </c>
      <c r="B126" s="3">
        <f>176635.73+31078.2+29275.78</f>
        <v>236989.71000000002</v>
      </c>
      <c r="C126" s="3">
        <f>167216.94+31078.2+29275.78</f>
        <v>227570.92</v>
      </c>
      <c r="D126" s="3">
        <v>268415.88</v>
      </c>
      <c r="E126" s="3">
        <f t="shared" si="5"/>
        <v>-31426.169999999984</v>
      </c>
      <c r="F126" s="3">
        <f t="shared" si="3"/>
        <v>-40844.959999999992</v>
      </c>
      <c r="G126" s="3">
        <f t="shared" si="4"/>
        <v>9418.7900000000081</v>
      </c>
    </row>
    <row r="127" spans="1:7" x14ac:dyDescent="0.25">
      <c r="A127" s="11" t="s">
        <v>265</v>
      </c>
      <c r="B127" s="3">
        <f>172799.9+22207.84+8894.44</f>
        <v>203902.18</v>
      </c>
      <c r="C127" s="3">
        <f>157104.1+22207.84+8894.44</f>
        <v>188206.38</v>
      </c>
      <c r="D127" s="3">
        <v>185021.74</v>
      </c>
      <c r="E127" s="3">
        <f t="shared" si="5"/>
        <v>18880.440000000002</v>
      </c>
      <c r="F127" s="3">
        <f t="shared" si="3"/>
        <v>3184.640000000014</v>
      </c>
      <c r="G127" s="3">
        <f t="shared" si="4"/>
        <v>15695.799999999988</v>
      </c>
    </row>
    <row r="128" spans="1:7" x14ac:dyDescent="0.25">
      <c r="A128" s="11" t="s">
        <v>266</v>
      </c>
      <c r="B128" s="3">
        <f>169581.06+41056.87+114364.68+1016.95</f>
        <v>326019.56</v>
      </c>
      <c r="C128" s="3">
        <f>167076.27+41056.87+114364.68+1016.95</f>
        <v>323514.76999999996</v>
      </c>
      <c r="D128" s="3">
        <v>312068.21000000002</v>
      </c>
      <c r="E128" s="3">
        <f t="shared" si="5"/>
        <v>13951.349999999977</v>
      </c>
      <c r="F128" s="3">
        <f t="shared" si="3"/>
        <v>11446.559999999939</v>
      </c>
      <c r="G128" s="3">
        <f t="shared" si="4"/>
        <v>2504.7900000000373</v>
      </c>
    </row>
    <row r="129" spans="1:7" x14ac:dyDescent="0.25">
      <c r="A129" s="11" t="s">
        <v>267</v>
      </c>
      <c r="B129" s="3">
        <f>243485.27+45929.46+10142.34</f>
        <v>299557.07</v>
      </c>
      <c r="C129" s="3">
        <f>234246.93+45929.46+10142.34</f>
        <v>290318.73000000004</v>
      </c>
      <c r="D129" s="3">
        <v>215774.09</v>
      </c>
      <c r="E129" s="3">
        <f t="shared" si="5"/>
        <v>83782.98000000001</v>
      </c>
      <c r="F129" s="3">
        <f t="shared" si="3"/>
        <v>74544.640000000043</v>
      </c>
      <c r="G129" s="3">
        <f t="shared" si="4"/>
        <v>9238.3399999999674</v>
      </c>
    </row>
    <row r="130" spans="1:7" x14ac:dyDescent="0.25">
      <c r="A130" s="11" t="s">
        <v>95</v>
      </c>
      <c r="B130" s="3">
        <f>59296.87+16490.07+40894.07</f>
        <v>116681.01000000001</v>
      </c>
      <c r="C130" s="3">
        <f>57097.37+16490.07+40894.07</f>
        <v>114481.51000000001</v>
      </c>
      <c r="D130" s="3">
        <v>85954.46</v>
      </c>
      <c r="E130" s="3">
        <f t="shared" si="5"/>
        <v>30726.550000000003</v>
      </c>
      <c r="F130" s="3">
        <f t="shared" si="3"/>
        <v>28527.050000000003</v>
      </c>
      <c r="G130" s="3">
        <f t="shared" si="4"/>
        <v>2199.5</v>
      </c>
    </row>
    <row r="131" spans="1:7" x14ac:dyDescent="0.25">
      <c r="A131" s="11" t="s">
        <v>268</v>
      </c>
      <c r="B131" s="3">
        <f>80107.86+10924.86+37361.18</f>
        <v>128393.9</v>
      </c>
      <c r="C131" s="3">
        <f>79794.59+10924.86+37361.18</f>
        <v>128080.63</v>
      </c>
      <c r="D131" s="3">
        <v>151678.25</v>
      </c>
      <c r="E131" s="3">
        <f t="shared" si="5"/>
        <v>-23284.350000000006</v>
      </c>
      <c r="F131" s="3">
        <f t="shared" si="3"/>
        <v>-23597.619999999995</v>
      </c>
      <c r="G131" s="3">
        <f t="shared" si="4"/>
        <v>313.26999999998952</v>
      </c>
    </row>
    <row r="132" spans="1:7" x14ac:dyDescent="0.25">
      <c r="A132" s="11" t="s">
        <v>96</v>
      </c>
      <c r="B132" s="3">
        <f>192665.47+31603.37+36361.17</f>
        <v>260630.01</v>
      </c>
      <c r="C132" s="3">
        <f>201217.49+31603.37+36361.17</f>
        <v>269182.02999999997</v>
      </c>
      <c r="D132" s="3">
        <v>216992.65</v>
      </c>
      <c r="E132" s="3">
        <f t="shared" si="5"/>
        <v>43637.360000000015</v>
      </c>
      <c r="F132" s="3">
        <f t="shared" si="3"/>
        <v>52189.379999999976</v>
      </c>
      <c r="G132" s="3">
        <f t="shared" si="4"/>
        <v>-8552.0199999999604</v>
      </c>
    </row>
    <row r="133" spans="1:7" x14ac:dyDescent="0.25">
      <c r="A133" s="11" t="s">
        <v>269</v>
      </c>
      <c r="B133" s="3">
        <f>73302.21+18641.28</f>
        <v>91943.49</v>
      </c>
      <c r="C133" s="3">
        <f>72527.58+18641.28</f>
        <v>91168.86</v>
      </c>
      <c r="D133" s="3">
        <v>95152.17</v>
      </c>
      <c r="E133" s="3">
        <f t="shared" si="5"/>
        <v>-3208.679999999993</v>
      </c>
      <c r="F133" s="3">
        <f t="shared" si="3"/>
        <v>-3983.3099999999977</v>
      </c>
      <c r="G133" s="3">
        <f t="shared" si="4"/>
        <v>774.63000000000466</v>
      </c>
    </row>
    <row r="134" spans="1:7" x14ac:dyDescent="0.25">
      <c r="A134" s="11" t="s">
        <v>97</v>
      </c>
      <c r="B134" s="3">
        <f>235196.27+33410.04+2175920.96+74460.12</f>
        <v>2518987.39</v>
      </c>
      <c r="C134" s="3">
        <f>226548.71+33410.04+2175920.96+74460.12</f>
        <v>2510339.83</v>
      </c>
      <c r="D134" s="3">
        <v>2505272.9900000002</v>
      </c>
      <c r="E134" s="3">
        <f t="shared" si="5"/>
        <v>13714.399999999907</v>
      </c>
      <c r="F134" s="3">
        <f t="shared" ref="F134:F177" si="6">C134-D134</f>
        <v>5066.839999999851</v>
      </c>
      <c r="G134" s="3">
        <f t="shared" ref="G134:G197" si="7">B134-C134</f>
        <v>8647.5600000000559</v>
      </c>
    </row>
    <row r="135" spans="1:7" x14ac:dyDescent="0.25">
      <c r="A135" s="11" t="s">
        <v>98</v>
      </c>
      <c r="B135" s="3">
        <f>59702.17+18184.49+393710.53+1016.95</f>
        <v>472614.14000000007</v>
      </c>
      <c r="C135" s="3">
        <f>55673.91+18184.49+393710.53+1016.95</f>
        <v>468585.88000000006</v>
      </c>
      <c r="D135" s="3">
        <v>497839.47</v>
      </c>
      <c r="E135" s="3">
        <f t="shared" ref="E135:E198" si="8">F135+G135</f>
        <v>-25225.3299999999</v>
      </c>
      <c r="F135" s="3">
        <f t="shared" si="6"/>
        <v>-29253.589999999909</v>
      </c>
      <c r="G135" s="3">
        <f t="shared" si="7"/>
        <v>4028.2600000000093</v>
      </c>
    </row>
    <row r="136" spans="1:7" x14ac:dyDescent="0.25">
      <c r="A136" s="11" t="s">
        <v>99</v>
      </c>
      <c r="B136" s="3">
        <f>142890.78+18576.43+1016.95</f>
        <v>162484.16</v>
      </c>
      <c r="C136" s="3">
        <f>141275.83+18576.43+1016.95</f>
        <v>160869.21</v>
      </c>
      <c r="D136" s="3">
        <v>210649.01</v>
      </c>
      <c r="E136" s="3">
        <f t="shared" si="8"/>
        <v>-48164.850000000006</v>
      </c>
      <c r="F136" s="3">
        <f t="shared" si="6"/>
        <v>-49779.800000000017</v>
      </c>
      <c r="G136" s="3">
        <f t="shared" si="7"/>
        <v>1614.9500000000116</v>
      </c>
    </row>
    <row r="137" spans="1:7" x14ac:dyDescent="0.25">
      <c r="A137" s="11" t="s">
        <v>100</v>
      </c>
      <c r="B137" s="3">
        <f>76699.56+13167.49+411928.17+1016.95</f>
        <v>502812.17</v>
      </c>
      <c r="C137" s="3">
        <f>73378.92+13167.49+411928.17+1016.95</f>
        <v>499491.52999999997</v>
      </c>
      <c r="D137" s="3">
        <v>515781.62</v>
      </c>
      <c r="E137" s="3">
        <f t="shared" si="8"/>
        <v>-12969.450000000012</v>
      </c>
      <c r="F137" s="3">
        <f t="shared" si="6"/>
        <v>-16290.090000000026</v>
      </c>
      <c r="G137" s="3">
        <f t="shared" si="7"/>
        <v>3320.640000000014</v>
      </c>
    </row>
    <row r="138" spans="1:7" x14ac:dyDescent="0.25">
      <c r="A138" s="11" t="s">
        <v>270</v>
      </c>
      <c r="B138" s="3">
        <f>91290.34+6563.11</f>
        <v>97853.45</v>
      </c>
      <c r="C138" s="3">
        <f>85797.31+6563.11</f>
        <v>92360.42</v>
      </c>
      <c r="D138" s="3">
        <v>93580.59</v>
      </c>
      <c r="E138" s="3">
        <f t="shared" si="8"/>
        <v>4272.8600000000006</v>
      </c>
      <c r="F138" s="3">
        <f t="shared" si="6"/>
        <v>-1220.1699999999983</v>
      </c>
      <c r="G138" s="3">
        <f t="shared" si="7"/>
        <v>5493.0299999999988</v>
      </c>
    </row>
    <row r="139" spans="1:7" x14ac:dyDescent="0.25">
      <c r="A139" s="11" t="s">
        <v>101</v>
      </c>
      <c r="B139" s="3">
        <f>225651.7+39151.37+122469.27+12844.04</f>
        <v>400116.38</v>
      </c>
      <c r="C139" s="3">
        <f>208163.76+39151.37+122469.27+12844.04</f>
        <v>382628.44</v>
      </c>
      <c r="D139" s="3">
        <v>304273.59000000003</v>
      </c>
      <c r="E139" s="3">
        <f t="shared" si="8"/>
        <v>95842.789999999979</v>
      </c>
      <c r="F139" s="3">
        <f t="shared" si="6"/>
        <v>78354.849999999977</v>
      </c>
      <c r="G139" s="3">
        <f t="shared" si="7"/>
        <v>17487.940000000002</v>
      </c>
    </row>
    <row r="140" spans="1:7" x14ac:dyDescent="0.25">
      <c r="A140" s="11" t="s">
        <v>102</v>
      </c>
      <c r="B140" s="3">
        <f>76898.03+14769.02</f>
        <v>91667.05</v>
      </c>
      <c r="C140" s="3">
        <f>74359.32+14769.02</f>
        <v>89128.340000000011</v>
      </c>
      <c r="D140" s="3">
        <v>93353.98</v>
      </c>
      <c r="E140" s="3">
        <f t="shared" si="8"/>
        <v>-1686.929999999993</v>
      </c>
      <c r="F140" s="3">
        <f t="shared" si="6"/>
        <v>-4225.6399999999849</v>
      </c>
      <c r="G140" s="3">
        <f t="shared" si="7"/>
        <v>2538.7099999999919</v>
      </c>
    </row>
    <row r="141" spans="1:7" x14ac:dyDescent="0.25">
      <c r="A141" s="11" t="s">
        <v>271</v>
      </c>
      <c r="B141" s="3">
        <f>65844.94+15023.69</f>
        <v>80868.63</v>
      </c>
      <c r="C141" s="3">
        <f>60037.43+15023.69</f>
        <v>75061.119999999995</v>
      </c>
      <c r="D141" s="3">
        <v>71370.259999999995</v>
      </c>
      <c r="E141" s="3">
        <f t="shared" si="8"/>
        <v>9498.3700000000099</v>
      </c>
      <c r="F141" s="3">
        <f t="shared" si="6"/>
        <v>3690.8600000000006</v>
      </c>
      <c r="G141" s="3">
        <f t="shared" si="7"/>
        <v>5807.5100000000093</v>
      </c>
    </row>
    <row r="142" spans="1:7" x14ac:dyDescent="0.25">
      <c r="A142" s="11" t="s">
        <v>103</v>
      </c>
      <c r="B142" s="3">
        <f>141935.97+38216.9+976883.23+1016.95</f>
        <v>1158053.05</v>
      </c>
      <c r="C142" s="3">
        <f>132698.14+38216.9+976883.23+1016.95</f>
        <v>1148815.22</v>
      </c>
      <c r="D142" s="3">
        <v>1173251.19</v>
      </c>
      <c r="E142" s="3">
        <f t="shared" si="8"/>
        <v>-15198.139999999898</v>
      </c>
      <c r="F142" s="3">
        <f t="shared" si="6"/>
        <v>-24435.969999999972</v>
      </c>
      <c r="G142" s="3">
        <f t="shared" si="7"/>
        <v>9237.8300000000745</v>
      </c>
    </row>
    <row r="143" spans="1:7" x14ac:dyDescent="0.25">
      <c r="A143" s="11" t="s">
        <v>272</v>
      </c>
      <c r="B143" s="3">
        <f>101117.11+25001.35+470766.52</f>
        <v>596884.98</v>
      </c>
      <c r="C143" s="3">
        <f>113657.44+25001.35+470766.52</f>
        <v>609425.31000000006</v>
      </c>
      <c r="D143" s="3">
        <v>592172.76</v>
      </c>
      <c r="E143" s="3">
        <f t="shared" si="8"/>
        <v>4712.2199999999721</v>
      </c>
      <c r="F143" s="3">
        <f t="shared" si="6"/>
        <v>17252.550000000047</v>
      </c>
      <c r="G143" s="3">
        <f t="shared" si="7"/>
        <v>-12540.330000000075</v>
      </c>
    </row>
    <row r="144" spans="1:7" x14ac:dyDescent="0.25">
      <c r="A144" s="11" t="s">
        <v>104</v>
      </c>
      <c r="B144" s="3">
        <f>75988.77+10464.46</f>
        <v>86453.23000000001</v>
      </c>
      <c r="C144" s="3">
        <f>73191.96+10464.46</f>
        <v>83656.420000000013</v>
      </c>
      <c r="D144" s="3">
        <v>175605.23</v>
      </c>
      <c r="E144" s="3">
        <f t="shared" si="8"/>
        <v>-89152</v>
      </c>
      <c r="F144" s="3">
        <f t="shared" si="6"/>
        <v>-91948.81</v>
      </c>
      <c r="G144" s="3">
        <f t="shared" si="7"/>
        <v>2796.8099999999977</v>
      </c>
    </row>
    <row r="145" spans="1:7" x14ac:dyDescent="0.25">
      <c r="A145" s="11" t="s">
        <v>105</v>
      </c>
      <c r="B145" s="3">
        <f>81554.82+14198.26+772206.69</f>
        <v>867959.7699999999</v>
      </c>
      <c r="C145" s="3">
        <f>74525.35+14198.26+772206.69</f>
        <v>860930.29999999993</v>
      </c>
      <c r="D145" s="3">
        <v>899092.8</v>
      </c>
      <c r="E145" s="3">
        <f t="shared" si="8"/>
        <v>-31133.030000000144</v>
      </c>
      <c r="F145" s="3">
        <f t="shared" si="6"/>
        <v>-38162.500000000116</v>
      </c>
      <c r="G145" s="3">
        <f t="shared" si="7"/>
        <v>7029.4699999999721</v>
      </c>
    </row>
    <row r="146" spans="1:7" x14ac:dyDescent="0.25">
      <c r="A146" s="11" t="s">
        <v>273</v>
      </c>
      <c r="B146" s="3">
        <f>81180.75+14460.14</f>
        <v>95640.89</v>
      </c>
      <c r="C146" s="3">
        <f>75941.89+14460.14</f>
        <v>90402.03</v>
      </c>
      <c r="D146" s="3">
        <v>120411.68</v>
      </c>
      <c r="E146" s="3">
        <f t="shared" si="8"/>
        <v>-24770.789999999994</v>
      </c>
      <c r="F146" s="3">
        <f t="shared" si="6"/>
        <v>-30009.649999999994</v>
      </c>
      <c r="G146" s="3">
        <f t="shared" si="7"/>
        <v>5238.8600000000006</v>
      </c>
    </row>
    <row r="147" spans="1:7" x14ac:dyDescent="0.25">
      <c r="A147" s="11" t="s">
        <v>106</v>
      </c>
      <c r="B147" s="3">
        <f>74199.08+23985.23+733598.41</f>
        <v>831782.72</v>
      </c>
      <c r="C147" s="3">
        <f>63028.57+23985.23+733598.41</f>
        <v>820612.21000000008</v>
      </c>
      <c r="D147" s="3">
        <v>865004.67</v>
      </c>
      <c r="E147" s="3">
        <f t="shared" si="8"/>
        <v>-33221.95000000007</v>
      </c>
      <c r="F147" s="3">
        <f t="shared" si="6"/>
        <v>-44392.459999999963</v>
      </c>
      <c r="G147" s="3">
        <f t="shared" si="7"/>
        <v>11170.509999999893</v>
      </c>
    </row>
    <row r="148" spans="1:7" x14ac:dyDescent="0.25">
      <c r="A148" s="11" t="s">
        <v>274</v>
      </c>
      <c r="B148" s="3">
        <f>72536.98+18203.78+54403.98+1016.95</f>
        <v>146161.69</v>
      </c>
      <c r="C148" s="3">
        <f>69988.74+18203.78+54403.98+1016.95</f>
        <v>143613.45000000001</v>
      </c>
      <c r="D148" s="3">
        <v>154809.59</v>
      </c>
      <c r="E148" s="3">
        <f t="shared" si="8"/>
        <v>-8647.8999999999942</v>
      </c>
      <c r="F148" s="3">
        <f t="shared" si="6"/>
        <v>-11196.139999999985</v>
      </c>
      <c r="G148" s="3">
        <f t="shared" si="7"/>
        <v>2548.2399999999907</v>
      </c>
    </row>
    <row r="149" spans="1:7" x14ac:dyDescent="0.25">
      <c r="A149" s="11" t="s">
        <v>107</v>
      </c>
      <c r="B149" s="3">
        <f>75611.31+13076.05+36856.42</f>
        <v>125543.78</v>
      </c>
      <c r="C149" s="3">
        <f>76648.49+13076.05+36856.42</f>
        <v>126580.96</v>
      </c>
      <c r="D149" s="3">
        <v>128424.57</v>
      </c>
      <c r="E149" s="3">
        <f t="shared" si="8"/>
        <v>-2880.7900000000081</v>
      </c>
      <c r="F149" s="3">
        <f t="shared" si="6"/>
        <v>-1843.6100000000006</v>
      </c>
      <c r="G149" s="3">
        <f t="shared" si="7"/>
        <v>-1037.1800000000076</v>
      </c>
    </row>
    <row r="150" spans="1:7" x14ac:dyDescent="0.25">
      <c r="A150" s="11" t="s">
        <v>108</v>
      </c>
      <c r="B150" s="3">
        <f>70885.17+16858.28</f>
        <v>87743.45</v>
      </c>
      <c r="C150" s="3">
        <f>67514.58+16858.28</f>
        <v>84372.86</v>
      </c>
      <c r="D150" s="3">
        <v>90762.65</v>
      </c>
      <c r="E150" s="3">
        <f t="shared" si="8"/>
        <v>-3019.1999999999971</v>
      </c>
      <c r="F150" s="3">
        <f t="shared" si="6"/>
        <v>-6389.7899999999936</v>
      </c>
      <c r="G150" s="3">
        <f t="shared" si="7"/>
        <v>3370.5899999999965</v>
      </c>
    </row>
    <row r="151" spans="1:7" x14ac:dyDescent="0.25">
      <c r="A151" s="11" t="s">
        <v>109</v>
      </c>
      <c r="B151" s="3">
        <f>88895.32+23787.82+51276.48</f>
        <v>163959.62000000002</v>
      </c>
      <c r="C151" s="3">
        <f>92527.13+23787.82+51276.48</f>
        <v>167591.43000000002</v>
      </c>
      <c r="D151" s="3">
        <v>169438.29</v>
      </c>
      <c r="E151" s="3">
        <f t="shared" si="8"/>
        <v>-5478.6699999999837</v>
      </c>
      <c r="F151" s="3">
        <f t="shared" si="6"/>
        <v>-1846.859999999986</v>
      </c>
      <c r="G151" s="3">
        <f t="shared" si="7"/>
        <v>-3631.8099999999977</v>
      </c>
    </row>
    <row r="152" spans="1:7" x14ac:dyDescent="0.25">
      <c r="A152" s="11" t="s">
        <v>275</v>
      </c>
      <c r="B152" s="3">
        <f>91828.95+26876.38+1016.95</f>
        <v>119722.28</v>
      </c>
      <c r="C152" s="3">
        <f>86162.37+26876.38+1016.95</f>
        <v>114055.7</v>
      </c>
      <c r="D152" s="3">
        <v>174623.69</v>
      </c>
      <c r="E152" s="3">
        <f t="shared" si="8"/>
        <v>-54901.41</v>
      </c>
      <c r="F152" s="3">
        <f t="shared" si="6"/>
        <v>-60567.990000000005</v>
      </c>
      <c r="G152" s="3">
        <f t="shared" si="7"/>
        <v>5666.5800000000017</v>
      </c>
    </row>
    <row r="153" spans="1:7" x14ac:dyDescent="0.25">
      <c r="A153" s="11" t="s">
        <v>276</v>
      </c>
      <c r="B153" s="3">
        <f>149319.35+11630.48</f>
        <v>160949.83000000002</v>
      </c>
      <c r="C153" s="3">
        <f>140808.86+11630.48</f>
        <v>152439.34</v>
      </c>
      <c r="D153" s="3">
        <v>251391.23</v>
      </c>
      <c r="E153" s="3">
        <f t="shared" si="8"/>
        <v>-90441.4</v>
      </c>
      <c r="F153" s="3">
        <f t="shared" si="6"/>
        <v>-98951.890000000014</v>
      </c>
      <c r="G153" s="3">
        <f t="shared" si="7"/>
        <v>8510.4900000000198</v>
      </c>
    </row>
    <row r="154" spans="1:7" x14ac:dyDescent="0.25">
      <c r="A154" s="11" t="s">
        <v>110</v>
      </c>
      <c r="B154" s="3">
        <f>544882.05+143607.35+1016.95</f>
        <v>689506.35</v>
      </c>
      <c r="C154" s="3">
        <f>556788.54+143607.35+1016.95</f>
        <v>701412.84</v>
      </c>
      <c r="D154" s="3">
        <v>523863.87</v>
      </c>
      <c r="E154" s="3">
        <f t="shared" si="8"/>
        <v>165642.47999999998</v>
      </c>
      <c r="F154" s="3">
        <f t="shared" si="6"/>
        <v>177548.96999999997</v>
      </c>
      <c r="G154" s="3">
        <f t="shared" si="7"/>
        <v>-11906.489999999991</v>
      </c>
    </row>
    <row r="155" spans="1:7" x14ac:dyDescent="0.25">
      <c r="A155" s="11" t="s">
        <v>277</v>
      </c>
      <c r="B155" s="3">
        <f>249656.56+59890.4+712480.22</f>
        <v>1022027.1799999999</v>
      </c>
      <c r="C155" s="3">
        <f>251461.65+59890.4+712480.22</f>
        <v>1023832.27</v>
      </c>
      <c r="D155" s="3">
        <v>1049187.33</v>
      </c>
      <c r="E155" s="3">
        <f t="shared" si="8"/>
        <v>-27160.15000000014</v>
      </c>
      <c r="F155" s="3">
        <f t="shared" si="6"/>
        <v>-25355.060000000056</v>
      </c>
      <c r="G155" s="3">
        <f t="shared" si="7"/>
        <v>-1805.0900000000838</v>
      </c>
    </row>
    <row r="156" spans="1:7" x14ac:dyDescent="0.25">
      <c r="A156" s="11" t="s">
        <v>111</v>
      </c>
      <c r="B156" s="3">
        <f>237349.34+88165.75+411109.77+1016.95</f>
        <v>737641.80999999994</v>
      </c>
      <c r="C156" s="3">
        <f>237122.84+88165.75+411109.77+1016.95</f>
        <v>737415.30999999994</v>
      </c>
      <c r="D156" s="3">
        <v>756509.24</v>
      </c>
      <c r="E156" s="3">
        <f t="shared" si="8"/>
        <v>-18867.430000000051</v>
      </c>
      <c r="F156" s="3">
        <f t="shared" si="6"/>
        <v>-19093.930000000051</v>
      </c>
      <c r="G156" s="3">
        <f t="shared" si="7"/>
        <v>226.5</v>
      </c>
    </row>
    <row r="157" spans="1:7" x14ac:dyDescent="0.25">
      <c r="A157" s="11" t="s">
        <v>112</v>
      </c>
      <c r="B157" s="3">
        <f>530031.16+156202.13+1016.95</f>
        <v>687250.24</v>
      </c>
      <c r="C157" s="3">
        <f>514634.86+156202.13+1016.95</f>
        <v>671853.94</v>
      </c>
      <c r="D157" s="3">
        <v>441749.94</v>
      </c>
      <c r="E157" s="3">
        <f t="shared" si="8"/>
        <v>245500.3</v>
      </c>
      <c r="F157" s="3">
        <f t="shared" si="6"/>
        <v>230103.99999999994</v>
      </c>
      <c r="G157" s="3">
        <f t="shared" si="7"/>
        <v>15396.300000000047</v>
      </c>
    </row>
    <row r="158" spans="1:7" x14ac:dyDescent="0.25">
      <c r="A158" s="11" t="s">
        <v>113</v>
      </c>
      <c r="B158" s="3">
        <f>241740.45+56071+40974.58</f>
        <v>338786.03</v>
      </c>
      <c r="C158" s="3">
        <f>228871.09+56071+40974.58</f>
        <v>325916.67</v>
      </c>
      <c r="D158" s="3">
        <v>251052.97</v>
      </c>
      <c r="E158" s="3">
        <f t="shared" si="8"/>
        <v>87733.060000000027</v>
      </c>
      <c r="F158" s="3">
        <f t="shared" si="6"/>
        <v>74863.699999999983</v>
      </c>
      <c r="G158" s="3">
        <f t="shared" si="7"/>
        <v>12869.360000000044</v>
      </c>
    </row>
    <row r="159" spans="1:7" x14ac:dyDescent="0.25">
      <c r="A159" s="11" t="s">
        <v>114</v>
      </c>
      <c r="B159" s="3">
        <f>129870.2+17621.45+9008.82</f>
        <v>156500.47</v>
      </c>
      <c r="C159" s="3">
        <f>122863.85+17621.45+9008.82</f>
        <v>149494.12000000002</v>
      </c>
      <c r="D159" s="3">
        <v>101146.75</v>
      </c>
      <c r="E159" s="3">
        <f t="shared" si="8"/>
        <v>55353.72</v>
      </c>
      <c r="F159" s="3">
        <f t="shared" si="6"/>
        <v>48347.370000000024</v>
      </c>
      <c r="G159" s="3">
        <f t="shared" si="7"/>
        <v>7006.3499999999767</v>
      </c>
    </row>
    <row r="160" spans="1:7" x14ac:dyDescent="0.25">
      <c r="A160" s="11" t="s">
        <v>115</v>
      </c>
      <c r="B160" s="3">
        <f>322630.62+55192.58+1391771.25+1016.95</f>
        <v>1770611.4</v>
      </c>
      <c r="C160" s="3">
        <f>293050.54+55192.58+1391771.25+1016.95</f>
        <v>1741031.32</v>
      </c>
      <c r="D160" s="3">
        <v>1827788.26</v>
      </c>
      <c r="E160" s="3">
        <f t="shared" si="8"/>
        <v>-57176.860000000102</v>
      </c>
      <c r="F160" s="3">
        <f t="shared" si="6"/>
        <v>-86756.939999999944</v>
      </c>
      <c r="G160" s="3">
        <f t="shared" si="7"/>
        <v>29580.079999999842</v>
      </c>
    </row>
    <row r="161" spans="1:7" x14ac:dyDescent="0.25">
      <c r="A161" s="11" t="s">
        <v>278</v>
      </c>
      <c r="B161" s="3">
        <f>243553.42+58420.41+1016.95</f>
        <v>302990.78000000003</v>
      </c>
      <c r="C161" s="3">
        <f>230893.34+58420.41+1016.95</f>
        <v>290330.7</v>
      </c>
      <c r="D161" s="3">
        <v>173354.36</v>
      </c>
      <c r="E161" s="3">
        <f t="shared" si="8"/>
        <v>129636.42000000004</v>
      </c>
      <c r="F161" s="3">
        <f t="shared" si="6"/>
        <v>116976.34000000003</v>
      </c>
      <c r="G161" s="3">
        <f t="shared" si="7"/>
        <v>12660.080000000016</v>
      </c>
    </row>
    <row r="162" spans="1:7" x14ac:dyDescent="0.25">
      <c r="A162" s="11" t="s">
        <v>279</v>
      </c>
      <c r="B162" s="3">
        <f>124057.79+30245.55</f>
        <v>154303.34</v>
      </c>
      <c r="C162" s="3">
        <f>121598.96+30245.55</f>
        <v>151844.51</v>
      </c>
      <c r="D162" s="3">
        <v>91998.23</v>
      </c>
      <c r="E162" s="3">
        <f t="shared" si="8"/>
        <v>62305.11</v>
      </c>
      <c r="F162" s="3">
        <f t="shared" si="6"/>
        <v>59846.280000000013</v>
      </c>
      <c r="G162" s="3">
        <f t="shared" si="7"/>
        <v>2458.8299999999872</v>
      </c>
    </row>
    <row r="163" spans="1:7" x14ac:dyDescent="0.25">
      <c r="A163" s="11" t="s">
        <v>116</v>
      </c>
      <c r="B163" s="3">
        <f>60054.7+7304.64+184989.76</f>
        <v>252349.1</v>
      </c>
      <c r="C163" s="3">
        <f>45835.65+7304.64+184989.76</f>
        <v>238130.05000000002</v>
      </c>
      <c r="D163" s="3">
        <v>80534.27</v>
      </c>
      <c r="E163" s="3">
        <f t="shared" si="8"/>
        <v>171814.83000000002</v>
      </c>
      <c r="F163" s="3">
        <f t="shared" si="6"/>
        <v>157595.78000000003</v>
      </c>
      <c r="G163" s="3">
        <f t="shared" si="7"/>
        <v>14219.049999999988</v>
      </c>
    </row>
    <row r="164" spans="1:7" x14ac:dyDescent="0.25">
      <c r="A164" s="11" t="s">
        <v>280</v>
      </c>
      <c r="B164" s="3">
        <f>26456.99+5540.48+22662.33</f>
        <v>54659.8</v>
      </c>
      <c r="C164" s="3">
        <f>23999.58+5540.48+22662.33</f>
        <v>52202.39</v>
      </c>
      <c r="D164" s="3">
        <v>97673.84</v>
      </c>
      <c r="E164" s="3">
        <f t="shared" si="8"/>
        <v>-43014.039999999994</v>
      </c>
      <c r="F164" s="3">
        <f t="shared" si="6"/>
        <v>-45471.45</v>
      </c>
      <c r="G164" s="3">
        <f t="shared" si="7"/>
        <v>2457.4100000000035</v>
      </c>
    </row>
    <row r="165" spans="1:7" x14ac:dyDescent="0.25">
      <c r="A165" s="11" t="s">
        <v>281</v>
      </c>
      <c r="B165" s="3">
        <f>66172.51+3753.52+176817.08</f>
        <v>246743.11</v>
      </c>
      <c r="C165" s="3">
        <f>47227.61+3753.52+176817.08</f>
        <v>227798.21</v>
      </c>
      <c r="D165" s="3">
        <v>80196.25</v>
      </c>
      <c r="E165" s="3">
        <f t="shared" si="8"/>
        <v>166546.85999999999</v>
      </c>
      <c r="F165" s="3">
        <f t="shared" si="6"/>
        <v>147601.96</v>
      </c>
      <c r="G165" s="3">
        <f t="shared" si="7"/>
        <v>18944.899999999994</v>
      </c>
    </row>
    <row r="166" spans="1:7" x14ac:dyDescent="0.25">
      <c r="A166" s="11" t="s">
        <v>117</v>
      </c>
      <c r="B166" s="3">
        <f>621729.75+130843.42+228868.17+58445.34</f>
        <v>1039886.68</v>
      </c>
      <c r="C166" s="3">
        <f>625143.41+130843.42+228868.17+58445.34</f>
        <v>1043300.3400000001</v>
      </c>
      <c r="D166" s="3">
        <v>936314.79</v>
      </c>
      <c r="E166" s="3">
        <f t="shared" si="8"/>
        <v>103571.89000000001</v>
      </c>
      <c r="F166" s="3">
        <f t="shared" si="6"/>
        <v>106985.55000000005</v>
      </c>
      <c r="G166" s="3">
        <f t="shared" si="7"/>
        <v>-3413.6600000000326</v>
      </c>
    </row>
    <row r="167" spans="1:7" x14ac:dyDescent="0.25">
      <c r="A167" s="11" t="s">
        <v>282</v>
      </c>
      <c r="B167" s="3">
        <f>62410.16+9690.88</f>
        <v>72101.040000000008</v>
      </c>
      <c r="C167" s="3">
        <f>46356.94+9690.88</f>
        <v>56047.82</v>
      </c>
      <c r="D167" s="3">
        <v>55748.15</v>
      </c>
      <c r="E167" s="3">
        <f t="shared" si="8"/>
        <v>16352.890000000007</v>
      </c>
      <c r="F167" s="3">
        <f t="shared" si="6"/>
        <v>299.66999999999825</v>
      </c>
      <c r="G167" s="3">
        <f t="shared" si="7"/>
        <v>16053.220000000008</v>
      </c>
    </row>
    <row r="168" spans="1:7" x14ac:dyDescent="0.25">
      <c r="A168" s="11" t="s">
        <v>283</v>
      </c>
      <c r="B168" s="3">
        <f>59255.91+9128.96</f>
        <v>68384.87</v>
      </c>
      <c r="C168" s="3">
        <f>66771.31+9128.96</f>
        <v>75900.26999999999</v>
      </c>
      <c r="D168" s="3">
        <v>63812.15</v>
      </c>
      <c r="E168" s="3">
        <f t="shared" si="8"/>
        <v>4572.7199999999939</v>
      </c>
      <c r="F168" s="3">
        <f t="shared" si="6"/>
        <v>12088.119999999988</v>
      </c>
      <c r="G168" s="3">
        <f t="shared" si="7"/>
        <v>-7515.3999999999942</v>
      </c>
    </row>
    <row r="169" spans="1:7" x14ac:dyDescent="0.25">
      <c r="A169" s="11" t="s">
        <v>284</v>
      </c>
      <c r="B169" s="3">
        <f>120005.41+3714.66</f>
        <v>123720.07</v>
      </c>
      <c r="C169" s="3">
        <f>100053.53+3714.66</f>
        <v>103768.19</v>
      </c>
      <c r="D169" s="3">
        <v>199510.19</v>
      </c>
      <c r="E169" s="3">
        <f t="shared" si="8"/>
        <v>-75790.12</v>
      </c>
      <c r="F169" s="3">
        <f t="shared" si="6"/>
        <v>-95742</v>
      </c>
      <c r="G169" s="3">
        <f t="shared" si="7"/>
        <v>19951.880000000005</v>
      </c>
    </row>
    <row r="170" spans="1:7" x14ac:dyDescent="0.25">
      <c r="A170" s="11" t="s">
        <v>285</v>
      </c>
      <c r="B170" s="3">
        <f>136621.43+827.82</f>
        <v>137449.25</v>
      </c>
      <c r="C170" s="3">
        <f>111297.09+827.82</f>
        <v>112124.91</v>
      </c>
      <c r="D170" s="3">
        <v>161322.57999999999</v>
      </c>
      <c r="E170" s="3">
        <f t="shared" si="8"/>
        <v>-23873.329999999987</v>
      </c>
      <c r="F170" s="3">
        <f t="shared" si="6"/>
        <v>-49197.669999999984</v>
      </c>
      <c r="G170" s="3">
        <f t="shared" si="7"/>
        <v>25324.339999999997</v>
      </c>
    </row>
    <row r="171" spans="1:7" x14ac:dyDescent="0.25">
      <c r="A171" s="11" t="s">
        <v>286</v>
      </c>
      <c r="B171" s="3">
        <f>72112+911.75+58271.15</f>
        <v>131294.9</v>
      </c>
      <c r="C171" s="3">
        <f>67779.3+911.75+58271.15</f>
        <v>126962.20000000001</v>
      </c>
      <c r="D171" s="3">
        <v>207151.79</v>
      </c>
      <c r="E171" s="3">
        <f t="shared" si="8"/>
        <v>-75856.890000000014</v>
      </c>
      <c r="F171" s="3">
        <f t="shared" si="6"/>
        <v>-80189.59</v>
      </c>
      <c r="G171" s="3">
        <f t="shared" si="7"/>
        <v>4332.6999999999825</v>
      </c>
    </row>
    <row r="172" spans="1:7" x14ac:dyDescent="0.25">
      <c r="A172" s="11" t="s">
        <v>118</v>
      </c>
      <c r="B172" s="3">
        <f>201179.99+44471.33+1159155.72+50361.84</f>
        <v>1455168.8800000001</v>
      </c>
      <c r="C172" s="3">
        <f>193466.61+44471.33+1159155.72+50361.84</f>
        <v>1447455.5</v>
      </c>
      <c r="D172" s="3">
        <v>1433597.41</v>
      </c>
      <c r="E172" s="3">
        <f t="shared" si="8"/>
        <v>21571.470000000205</v>
      </c>
      <c r="F172" s="3">
        <f t="shared" si="6"/>
        <v>13858.090000000084</v>
      </c>
      <c r="G172" s="3">
        <f t="shared" si="7"/>
        <v>7713.3800000001211</v>
      </c>
    </row>
    <row r="173" spans="1:7" x14ac:dyDescent="0.25">
      <c r="A173" s="11" t="s">
        <v>119</v>
      </c>
      <c r="B173" s="3">
        <f>236203.17+57301.03+1136993+6821.49</f>
        <v>1437318.69</v>
      </c>
      <c r="C173" s="3">
        <f>233683.7+57301.03+1136993+6821.49</f>
        <v>1434799.22</v>
      </c>
      <c r="D173" s="3">
        <v>1377217.93</v>
      </c>
      <c r="E173" s="3">
        <f t="shared" si="8"/>
        <v>60100.760000000009</v>
      </c>
      <c r="F173" s="3">
        <f t="shared" si="6"/>
        <v>57581.290000000037</v>
      </c>
      <c r="G173" s="3">
        <f t="shared" si="7"/>
        <v>2519.4699999999721</v>
      </c>
    </row>
    <row r="174" spans="1:7" x14ac:dyDescent="0.25">
      <c r="A174" s="11" t="s">
        <v>287</v>
      </c>
      <c r="B174" s="3">
        <f>238704.48+67760.67+1016.95</f>
        <v>307482.10000000003</v>
      </c>
      <c r="C174" s="3">
        <f>223050.58+67760.67+1016.95</f>
        <v>291828.2</v>
      </c>
      <c r="D174" s="3">
        <v>225947.89</v>
      </c>
      <c r="E174" s="3">
        <f t="shared" si="8"/>
        <v>81534.210000000021</v>
      </c>
      <c r="F174" s="3">
        <f t="shared" si="6"/>
        <v>65880.31</v>
      </c>
      <c r="G174" s="3">
        <f t="shared" si="7"/>
        <v>15653.900000000023</v>
      </c>
    </row>
    <row r="175" spans="1:7" x14ac:dyDescent="0.25">
      <c r="A175" s="11" t="s">
        <v>120</v>
      </c>
      <c r="B175" s="3">
        <f>176310.68+42246.59+11529.31</f>
        <v>230086.58</v>
      </c>
      <c r="C175" s="3">
        <f>177352.6+42246.59+11529.31</f>
        <v>231128.5</v>
      </c>
      <c r="D175" s="3">
        <v>199629.38</v>
      </c>
      <c r="E175" s="3">
        <f t="shared" si="8"/>
        <v>30457.199999999983</v>
      </c>
      <c r="F175" s="3">
        <f t="shared" si="6"/>
        <v>31499.119999999995</v>
      </c>
      <c r="G175" s="3">
        <f t="shared" si="7"/>
        <v>-1041.9200000000128</v>
      </c>
    </row>
    <row r="176" spans="1:7" x14ac:dyDescent="0.25">
      <c r="A176" s="11" t="s">
        <v>121</v>
      </c>
      <c r="B176" s="3">
        <f>242095.41+68268.36+84368.69</f>
        <v>394732.46</v>
      </c>
      <c r="C176" s="3">
        <f>225232.69+68268.36+84368.69</f>
        <v>377869.74</v>
      </c>
      <c r="D176" s="3">
        <v>290828.58</v>
      </c>
      <c r="E176" s="3">
        <f t="shared" si="8"/>
        <v>103903.88</v>
      </c>
      <c r="F176" s="3">
        <f t="shared" si="6"/>
        <v>87041.159999999974</v>
      </c>
      <c r="G176" s="3">
        <f t="shared" si="7"/>
        <v>16862.72000000003</v>
      </c>
    </row>
    <row r="177" spans="1:7" x14ac:dyDescent="0.25">
      <c r="A177" s="11" t="s">
        <v>288</v>
      </c>
      <c r="B177" s="3">
        <f>148540.09+31454.57+36236.81</f>
        <v>216231.47</v>
      </c>
      <c r="C177" s="3">
        <f>152848.71+31454.57+36236.81</f>
        <v>220540.09</v>
      </c>
      <c r="D177" s="3">
        <v>170088.37</v>
      </c>
      <c r="E177" s="3">
        <f t="shared" si="8"/>
        <v>46143.100000000006</v>
      </c>
      <c r="F177" s="3">
        <f t="shared" si="6"/>
        <v>50451.72</v>
      </c>
      <c r="G177" s="3">
        <f t="shared" si="7"/>
        <v>-4308.6199999999953</v>
      </c>
    </row>
    <row r="178" spans="1:7" x14ac:dyDescent="0.25">
      <c r="A178" s="11" t="s">
        <v>289</v>
      </c>
      <c r="B178" s="3">
        <f>155760.08+28389.66</f>
        <v>184149.74</v>
      </c>
      <c r="C178" s="3">
        <f>141478.6+28389.66</f>
        <v>169868.26</v>
      </c>
      <c r="D178" s="3">
        <v>194184.77</v>
      </c>
      <c r="E178" s="3">
        <f t="shared" si="8"/>
        <v>-10035.029999999999</v>
      </c>
      <c r="F178" s="3">
        <f>C178-D178</f>
        <v>-24316.50999999998</v>
      </c>
      <c r="G178" s="3">
        <f t="shared" si="7"/>
        <v>14281.479999999981</v>
      </c>
    </row>
    <row r="179" spans="1:7" x14ac:dyDescent="0.25">
      <c r="A179" s="11" t="s">
        <v>122</v>
      </c>
      <c r="B179" s="3">
        <f>123221.58+31826.5+5537.32</f>
        <v>160585.40000000002</v>
      </c>
      <c r="C179" s="3">
        <f>121309.37+31826.15+5537.32</f>
        <v>158672.84</v>
      </c>
      <c r="D179" s="3">
        <v>119787.76</v>
      </c>
      <c r="E179" s="3">
        <f t="shared" si="8"/>
        <v>40797.640000000029</v>
      </c>
      <c r="F179" s="3">
        <f t="shared" ref="F179:F242" si="9">C179-D179</f>
        <v>38885.08</v>
      </c>
      <c r="G179" s="3">
        <f t="shared" si="7"/>
        <v>1912.5600000000268</v>
      </c>
    </row>
    <row r="180" spans="1:7" x14ac:dyDescent="0.25">
      <c r="A180" s="11" t="s">
        <v>123</v>
      </c>
      <c r="B180" s="3">
        <f>277695.82+60650.52+274469.44</f>
        <v>612815.78</v>
      </c>
      <c r="C180" s="3">
        <f>279240.51+60650.52+274469.44</f>
        <v>614360.47</v>
      </c>
      <c r="D180" s="3">
        <v>325929.43</v>
      </c>
      <c r="E180" s="3">
        <f t="shared" si="8"/>
        <v>286886.35000000003</v>
      </c>
      <c r="F180" s="3">
        <f t="shared" si="9"/>
        <v>288431.03999999998</v>
      </c>
      <c r="G180" s="3">
        <f t="shared" si="7"/>
        <v>-1544.6899999999441</v>
      </c>
    </row>
    <row r="181" spans="1:7" x14ac:dyDescent="0.25">
      <c r="A181" s="11" t="s">
        <v>124</v>
      </c>
      <c r="B181" s="3">
        <f>124732.29+27717.41+3642.6</f>
        <v>156092.29999999999</v>
      </c>
      <c r="C181" s="3">
        <f>117624+27717.41+3642.6</f>
        <v>148984.01</v>
      </c>
      <c r="D181" s="3">
        <v>124049.4</v>
      </c>
      <c r="E181" s="3">
        <f t="shared" si="8"/>
        <v>32042.899999999994</v>
      </c>
      <c r="F181" s="3">
        <f t="shared" si="9"/>
        <v>24934.610000000015</v>
      </c>
      <c r="G181" s="3">
        <f t="shared" si="7"/>
        <v>7108.289999999979</v>
      </c>
    </row>
    <row r="182" spans="1:7" x14ac:dyDescent="0.25">
      <c r="A182" s="11" t="s">
        <v>125</v>
      </c>
      <c r="B182" s="3">
        <f>316583.91+74942+11918.61</f>
        <v>403444.51999999996</v>
      </c>
      <c r="C182" s="3">
        <f>318534.73+74942+11918.61</f>
        <v>405395.33999999997</v>
      </c>
      <c r="D182" s="3">
        <v>363700</v>
      </c>
      <c r="E182" s="3">
        <f t="shared" si="8"/>
        <v>39744.51999999996</v>
      </c>
      <c r="F182" s="3">
        <f t="shared" si="9"/>
        <v>41695.339999999967</v>
      </c>
      <c r="G182" s="3">
        <f t="shared" si="7"/>
        <v>-1950.820000000007</v>
      </c>
    </row>
    <row r="183" spans="1:7" x14ac:dyDescent="0.25">
      <c r="A183" s="11" t="s">
        <v>126</v>
      </c>
      <c r="B183" s="3">
        <f>184833.32+26872.74+1016.95</f>
        <v>212723.01</v>
      </c>
      <c r="C183" s="3">
        <f>179766.2+26872.74+1016.95</f>
        <v>207655.89</v>
      </c>
      <c r="D183" s="3">
        <v>163016.37</v>
      </c>
      <c r="E183" s="3">
        <f t="shared" si="8"/>
        <v>49706.640000000014</v>
      </c>
      <c r="F183" s="3">
        <f t="shared" si="9"/>
        <v>44639.520000000019</v>
      </c>
      <c r="G183" s="3">
        <f t="shared" si="7"/>
        <v>5067.1199999999953</v>
      </c>
    </row>
    <row r="184" spans="1:7" x14ac:dyDescent="0.25">
      <c r="A184" s="11" t="s">
        <v>290</v>
      </c>
      <c r="B184" s="3">
        <f>188669.6+39184.71</f>
        <v>227854.31</v>
      </c>
      <c r="C184" s="3">
        <f>186324.99+39184.71</f>
        <v>225509.69999999998</v>
      </c>
      <c r="D184" s="3">
        <v>192734.47</v>
      </c>
      <c r="E184" s="3">
        <f t="shared" si="8"/>
        <v>35119.839999999997</v>
      </c>
      <c r="F184" s="3">
        <f t="shared" si="9"/>
        <v>32775.229999999981</v>
      </c>
      <c r="G184" s="3">
        <f t="shared" si="7"/>
        <v>2344.6100000000151</v>
      </c>
    </row>
    <row r="185" spans="1:7" x14ac:dyDescent="0.25">
      <c r="A185" s="11" t="s">
        <v>127</v>
      </c>
      <c r="B185" s="3">
        <f>257512.92+48504.62+691979.08</f>
        <v>997996.62</v>
      </c>
      <c r="C185" s="3">
        <f>236477.61+48504.62+691979.08</f>
        <v>976961.30999999994</v>
      </c>
      <c r="D185" s="3">
        <v>1053729.8600000001</v>
      </c>
      <c r="E185" s="3">
        <f t="shared" si="8"/>
        <v>-55733.240000000107</v>
      </c>
      <c r="F185" s="3">
        <f t="shared" si="9"/>
        <v>-76768.550000000163</v>
      </c>
      <c r="G185" s="3">
        <f t="shared" si="7"/>
        <v>21035.310000000056</v>
      </c>
    </row>
    <row r="186" spans="1:7" x14ac:dyDescent="0.25">
      <c r="A186" s="11" t="s">
        <v>291</v>
      </c>
      <c r="B186" s="3">
        <f>93630.46+18352.76</f>
        <v>111983.22</v>
      </c>
      <c r="C186" s="3">
        <f>90007.31+18352.76</f>
        <v>108360.06999999999</v>
      </c>
      <c r="D186" s="3">
        <v>131947.79999999999</v>
      </c>
      <c r="E186" s="3">
        <f t="shared" si="8"/>
        <v>-19964.579999999987</v>
      </c>
      <c r="F186" s="3">
        <f t="shared" si="9"/>
        <v>-23587.729999999996</v>
      </c>
      <c r="G186" s="3">
        <f t="shared" si="7"/>
        <v>3623.1500000000087</v>
      </c>
    </row>
    <row r="187" spans="1:7" x14ac:dyDescent="0.25">
      <c r="A187" s="11" t="s">
        <v>128</v>
      </c>
      <c r="B187" s="3">
        <f>241157.78+71318.66+9893.87</f>
        <v>322370.31</v>
      </c>
      <c r="C187" s="3">
        <f>232223.29+71318.66+9893.87</f>
        <v>313435.82</v>
      </c>
      <c r="D187" s="3">
        <v>243631.09</v>
      </c>
      <c r="E187" s="3">
        <f t="shared" si="8"/>
        <v>78739.22</v>
      </c>
      <c r="F187" s="3">
        <f t="shared" si="9"/>
        <v>69804.73000000001</v>
      </c>
      <c r="G187" s="3">
        <f t="shared" si="7"/>
        <v>8934.4899999999907</v>
      </c>
    </row>
    <row r="188" spans="1:7" x14ac:dyDescent="0.25">
      <c r="A188" s="11" t="s">
        <v>129</v>
      </c>
      <c r="B188" s="3">
        <f>160939.99+33965.4+13007.49</f>
        <v>207912.87999999998</v>
      </c>
      <c r="C188" s="3">
        <f>153042.52+33965.4+13007.49</f>
        <v>200015.40999999997</v>
      </c>
      <c r="D188" s="3">
        <v>120973.15</v>
      </c>
      <c r="E188" s="3">
        <f t="shared" si="8"/>
        <v>86939.729999999981</v>
      </c>
      <c r="F188" s="3">
        <f t="shared" si="9"/>
        <v>79042.25999999998</v>
      </c>
      <c r="G188" s="3">
        <f t="shared" si="7"/>
        <v>7897.4700000000012</v>
      </c>
    </row>
    <row r="189" spans="1:7" x14ac:dyDescent="0.25">
      <c r="A189" s="11" t="s">
        <v>130</v>
      </c>
      <c r="B189" s="3">
        <f>268617.47+55444.22</f>
        <v>324061.68999999994</v>
      </c>
      <c r="C189" s="3">
        <f>262952.6+55444.22</f>
        <v>318396.81999999995</v>
      </c>
      <c r="D189" s="3">
        <v>258868.14</v>
      </c>
      <c r="E189" s="3">
        <f t="shared" si="8"/>
        <v>65193.54999999993</v>
      </c>
      <c r="F189" s="3">
        <f t="shared" si="9"/>
        <v>59528.679999999935</v>
      </c>
      <c r="G189" s="3">
        <f t="shared" si="7"/>
        <v>5664.8699999999953</v>
      </c>
    </row>
    <row r="190" spans="1:7" x14ac:dyDescent="0.25">
      <c r="A190" s="11" t="s">
        <v>131</v>
      </c>
      <c r="B190" s="3">
        <f>240113.38+63719+1016.95</f>
        <v>304849.33</v>
      </c>
      <c r="C190" s="3">
        <f>233081.76+63719+1016.95</f>
        <v>297817.71000000002</v>
      </c>
      <c r="D190" s="3">
        <v>209300.9</v>
      </c>
      <c r="E190" s="3">
        <f t="shared" si="8"/>
        <v>95548.430000000022</v>
      </c>
      <c r="F190" s="3">
        <f t="shared" si="9"/>
        <v>88516.810000000027</v>
      </c>
      <c r="G190" s="3">
        <f t="shared" si="7"/>
        <v>7031.6199999999953</v>
      </c>
    </row>
    <row r="191" spans="1:7" x14ac:dyDescent="0.25">
      <c r="A191" s="11" t="s">
        <v>132</v>
      </c>
      <c r="B191" s="3">
        <f>237489.6+62334.44+13321.75</f>
        <v>313145.79000000004</v>
      </c>
      <c r="C191" s="3">
        <f>226624.54+62334.44+13321.75</f>
        <v>302280.73</v>
      </c>
      <c r="D191" s="3">
        <v>205648.64000000001</v>
      </c>
      <c r="E191" s="3">
        <f t="shared" si="8"/>
        <v>107497.15000000002</v>
      </c>
      <c r="F191" s="3">
        <f t="shared" si="9"/>
        <v>96632.089999999967</v>
      </c>
      <c r="G191" s="3">
        <f t="shared" si="7"/>
        <v>10865.060000000056</v>
      </c>
    </row>
    <row r="192" spans="1:7" x14ac:dyDescent="0.25">
      <c r="A192" s="11" t="s">
        <v>133</v>
      </c>
      <c r="B192" s="3">
        <f>205074.22+5001.92+56054.08</f>
        <v>266130.22000000003</v>
      </c>
      <c r="C192" s="3">
        <f>143501.76+5001.92+56054.08</f>
        <v>204557.76</v>
      </c>
      <c r="D192" s="3">
        <v>240648.23</v>
      </c>
      <c r="E192" s="3">
        <f t="shared" si="8"/>
        <v>25481.99000000002</v>
      </c>
      <c r="F192" s="3">
        <f t="shared" si="9"/>
        <v>-36090.47</v>
      </c>
      <c r="G192" s="3">
        <f t="shared" si="7"/>
        <v>61572.460000000021</v>
      </c>
    </row>
    <row r="193" spans="1:7" x14ac:dyDescent="0.25">
      <c r="A193" s="11" t="s">
        <v>134</v>
      </c>
      <c r="B193" s="3">
        <f>131836.76+25605.95+1016.95+837094.37</f>
        <v>995554.03</v>
      </c>
      <c r="C193" s="3">
        <f>123845.69+25605.95+837094.37+1016.95</f>
        <v>987562.96</v>
      </c>
      <c r="D193" s="3">
        <v>1013203.39</v>
      </c>
      <c r="E193" s="3">
        <f t="shared" si="8"/>
        <v>-17649.359999999986</v>
      </c>
      <c r="F193" s="3">
        <f t="shared" si="9"/>
        <v>-25640.430000000051</v>
      </c>
      <c r="G193" s="3">
        <f t="shared" si="7"/>
        <v>7991.0700000000652</v>
      </c>
    </row>
    <row r="194" spans="1:7" x14ac:dyDescent="0.25">
      <c r="A194" s="11" t="s">
        <v>135</v>
      </c>
      <c r="B194" s="3">
        <f>60488.52+9455.31+64312.19+5437.36</f>
        <v>139693.38</v>
      </c>
      <c r="C194" s="3">
        <f>63167.33+9455.31+64312.19+5437.36</f>
        <v>142372.19</v>
      </c>
      <c r="D194" s="3">
        <v>150932.29999999999</v>
      </c>
      <c r="E194" s="3">
        <f t="shared" si="8"/>
        <v>-11238.919999999984</v>
      </c>
      <c r="F194" s="3">
        <f t="shared" si="9"/>
        <v>-8560.109999999986</v>
      </c>
      <c r="G194" s="3">
        <f t="shared" si="7"/>
        <v>-2678.8099999999977</v>
      </c>
    </row>
    <row r="195" spans="1:7" x14ac:dyDescent="0.25">
      <c r="A195" s="11" t="s">
        <v>292</v>
      </c>
      <c r="B195" s="3">
        <f>70276.99+4659.04</f>
        <v>74936.03</v>
      </c>
      <c r="C195" s="3">
        <f>72881.74+4659.04</f>
        <v>77540.78</v>
      </c>
      <c r="D195" s="3">
        <v>70038.850000000006</v>
      </c>
      <c r="E195" s="3">
        <f t="shared" si="8"/>
        <v>4897.179999999993</v>
      </c>
      <c r="F195" s="3">
        <f t="shared" si="9"/>
        <v>7501.929999999993</v>
      </c>
      <c r="G195" s="3">
        <f t="shared" si="7"/>
        <v>-2604.75</v>
      </c>
    </row>
    <row r="196" spans="1:7" x14ac:dyDescent="0.25">
      <c r="A196" s="11" t="s">
        <v>136</v>
      </c>
      <c r="B196" s="3">
        <f>155583.61+41848.09+4270.58</f>
        <v>201702.27999999997</v>
      </c>
      <c r="C196" s="3">
        <f>153933.93+41848.09+4270.58</f>
        <v>200052.59999999998</v>
      </c>
      <c r="D196" s="3">
        <v>165326.32</v>
      </c>
      <c r="E196" s="3">
        <f t="shared" si="8"/>
        <v>36375.959999999963</v>
      </c>
      <c r="F196" s="3">
        <f t="shared" si="9"/>
        <v>34726.27999999997</v>
      </c>
      <c r="G196" s="3">
        <f t="shared" si="7"/>
        <v>1649.679999999993</v>
      </c>
    </row>
    <row r="197" spans="1:7" x14ac:dyDescent="0.25">
      <c r="A197" s="11" t="s">
        <v>293</v>
      </c>
      <c r="B197" s="3">
        <f>160594.86+30776.95+1016.95</f>
        <v>192388.76</v>
      </c>
      <c r="C197" s="3">
        <f>148488.77+30776.95+1016.95</f>
        <v>180282.67</v>
      </c>
      <c r="D197" s="3">
        <v>134867.35999999999</v>
      </c>
      <c r="E197" s="3">
        <f t="shared" si="8"/>
        <v>57521.400000000023</v>
      </c>
      <c r="F197" s="3">
        <f t="shared" si="9"/>
        <v>45415.310000000027</v>
      </c>
      <c r="G197" s="3">
        <f t="shared" si="7"/>
        <v>12106.089999999997</v>
      </c>
    </row>
    <row r="198" spans="1:7" x14ac:dyDescent="0.25">
      <c r="A198" s="11" t="s">
        <v>294</v>
      </c>
      <c r="B198" s="3">
        <f>304731.45+72719.2+1981754.2+1016.95</f>
        <v>2360221.8000000003</v>
      </c>
      <c r="C198" s="3">
        <f>296163.38+72719.2+1016.95+1981754.2</f>
        <v>2351653.73</v>
      </c>
      <c r="D198" s="3">
        <v>2425810.46</v>
      </c>
      <c r="E198" s="3">
        <f t="shared" si="8"/>
        <v>-65588.659999999683</v>
      </c>
      <c r="F198" s="3">
        <f t="shared" si="9"/>
        <v>-74156.729999999981</v>
      </c>
      <c r="G198" s="3">
        <f t="shared" ref="G198:G261" si="10">B198-C198</f>
        <v>8568.070000000298</v>
      </c>
    </row>
    <row r="199" spans="1:7" x14ac:dyDescent="0.25">
      <c r="A199" s="11" t="s">
        <v>137</v>
      </c>
      <c r="B199" s="3">
        <f>122155.04+26873.44</f>
        <v>149028.47999999998</v>
      </c>
      <c r="C199" s="3">
        <f>118020.72+26873.44</f>
        <v>144894.16</v>
      </c>
      <c r="D199" s="3">
        <v>159116.07</v>
      </c>
      <c r="E199" s="3">
        <f t="shared" ref="E199:E262" si="11">F199+G199</f>
        <v>-10087.590000000026</v>
      </c>
      <c r="F199" s="3">
        <f t="shared" si="9"/>
        <v>-14221.910000000003</v>
      </c>
      <c r="G199" s="3">
        <f t="shared" si="10"/>
        <v>4134.3199999999779</v>
      </c>
    </row>
    <row r="200" spans="1:7" x14ac:dyDescent="0.25">
      <c r="A200" s="11" t="s">
        <v>138</v>
      </c>
      <c r="B200" s="3">
        <f>256234.03+41051.4+6092.57</f>
        <v>303378</v>
      </c>
      <c r="C200" s="3">
        <f>244328.22+41051.4+6092.57</f>
        <v>291472.19</v>
      </c>
      <c r="D200" s="3">
        <v>219712.23</v>
      </c>
      <c r="E200" s="3">
        <f t="shared" si="11"/>
        <v>83665.76999999999</v>
      </c>
      <c r="F200" s="3">
        <f t="shared" si="9"/>
        <v>71759.959999999992</v>
      </c>
      <c r="G200" s="3">
        <f t="shared" si="10"/>
        <v>11905.809999999998</v>
      </c>
    </row>
    <row r="201" spans="1:7" x14ac:dyDescent="0.25">
      <c r="A201" s="11" t="s">
        <v>139</v>
      </c>
      <c r="B201" s="3">
        <f>209542.18+3409.12+4135.75</f>
        <v>217087.05</v>
      </c>
      <c r="C201" s="3">
        <f>176576.09+3409.14+4135.75</f>
        <v>184120.98</v>
      </c>
      <c r="D201" s="3">
        <v>270065.25</v>
      </c>
      <c r="E201" s="3">
        <f t="shared" si="11"/>
        <v>-52978.200000000012</v>
      </c>
      <c r="F201" s="3">
        <f t="shared" si="9"/>
        <v>-85944.26999999999</v>
      </c>
      <c r="G201" s="3">
        <f t="shared" si="10"/>
        <v>32966.069999999978</v>
      </c>
    </row>
    <row r="202" spans="1:7" x14ac:dyDescent="0.25">
      <c r="A202" s="11" t="s">
        <v>140</v>
      </c>
      <c r="B202" s="3">
        <f>74294.26+11179.45+1211912.85+20389.25</f>
        <v>1317775.81</v>
      </c>
      <c r="C202" s="3">
        <f>72642.43+11179.45+1211912.85+20389.25</f>
        <v>1316123.98</v>
      </c>
      <c r="D202" s="3">
        <v>1372205.51</v>
      </c>
      <c r="E202" s="3">
        <f t="shared" si="11"/>
        <v>-54429.699999999953</v>
      </c>
      <c r="F202" s="3">
        <f t="shared" si="9"/>
        <v>-56081.530000000028</v>
      </c>
      <c r="G202" s="3">
        <f t="shared" si="10"/>
        <v>1651.8300000000745</v>
      </c>
    </row>
    <row r="203" spans="1:7" x14ac:dyDescent="0.25">
      <c r="A203" s="11" t="s">
        <v>141</v>
      </c>
      <c r="B203" s="3">
        <f>69556.78+26638.71+1631998.69+10084.78</f>
        <v>1738278.96</v>
      </c>
      <c r="C203" s="3">
        <f>64931.67+26638.71+1631998.69+10087.78</f>
        <v>1733656.8499999999</v>
      </c>
      <c r="D203" s="3">
        <v>1776169.15</v>
      </c>
      <c r="E203" s="3">
        <f t="shared" si="11"/>
        <v>-37890.189999999944</v>
      </c>
      <c r="F203" s="3">
        <f t="shared" si="9"/>
        <v>-42512.300000000047</v>
      </c>
      <c r="G203" s="3">
        <f t="shared" si="10"/>
        <v>4622.1100000001024</v>
      </c>
    </row>
    <row r="204" spans="1:7" x14ac:dyDescent="0.25">
      <c r="A204" s="11" t="s">
        <v>295</v>
      </c>
      <c r="B204" s="3">
        <f>81581.68+11704.39+1016.95</f>
        <v>94303.01999999999</v>
      </c>
      <c r="C204" s="3">
        <f>84713.33+11704.39+1016.95</f>
        <v>97434.67</v>
      </c>
      <c r="D204" s="3">
        <v>85718.41</v>
      </c>
      <c r="E204" s="3">
        <f t="shared" si="11"/>
        <v>8584.609999999986</v>
      </c>
      <c r="F204" s="3">
        <f t="shared" si="9"/>
        <v>11716.259999999995</v>
      </c>
      <c r="G204" s="3">
        <f t="shared" si="10"/>
        <v>-3131.6500000000087</v>
      </c>
    </row>
    <row r="205" spans="1:7" x14ac:dyDescent="0.25">
      <c r="A205" s="11" t="s">
        <v>142</v>
      </c>
      <c r="B205" s="3">
        <f>306540.67+56139.32</f>
        <v>362679.99</v>
      </c>
      <c r="C205" s="3">
        <f>303896.08+56139.32</f>
        <v>360035.4</v>
      </c>
      <c r="D205" s="3">
        <v>324463.09000000003</v>
      </c>
      <c r="E205" s="3">
        <f t="shared" si="11"/>
        <v>38216.899999999965</v>
      </c>
      <c r="F205" s="3">
        <f t="shared" si="9"/>
        <v>35572.31</v>
      </c>
      <c r="G205" s="3">
        <f t="shared" si="10"/>
        <v>2644.5899999999674</v>
      </c>
    </row>
    <row r="206" spans="1:7" x14ac:dyDescent="0.25">
      <c r="A206" s="11" t="s">
        <v>143</v>
      </c>
      <c r="B206" s="3">
        <f>71868.74+20982.7+831331.4+7741.42</f>
        <v>931924.26000000013</v>
      </c>
      <c r="C206" s="3">
        <f>69275.15+20982.7+831331.4+7741.42</f>
        <v>929330.67</v>
      </c>
      <c r="D206" s="3">
        <v>970974.26</v>
      </c>
      <c r="E206" s="3">
        <f t="shared" si="11"/>
        <v>-39049.999999999884</v>
      </c>
      <c r="F206" s="3">
        <f t="shared" si="9"/>
        <v>-41643.589999999967</v>
      </c>
      <c r="G206" s="3">
        <f t="shared" si="10"/>
        <v>2593.5900000000838</v>
      </c>
    </row>
    <row r="207" spans="1:7" x14ac:dyDescent="0.25">
      <c r="A207" s="11" t="s">
        <v>296</v>
      </c>
      <c r="B207" s="3">
        <f>57120.91+9643.12</f>
        <v>66764.03</v>
      </c>
      <c r="C207" s="3">
        <f>57323.18+9643.12</f>
        <v>66966.3</v>
      </c>
      <c r="D207" s="3">
        <v>62587.32</v>
      </c>
      <c r="E207" s="3">
        <f t="shared" si="11"/>
        <v>4176.7099999999991</v>
      </c>
      <c r="F207" s="3">
        <f t="shared" si="9"/>
        <v>4378.9800000000032</v>
      </c>
      <c r="G207" s="3">
        <f t="shared" si="10"/>
        <v>-202.27000000000407</v>
      </c>
    </row>
    <row r="208" spans="1:7" x14ac:dyDescent="0.25">
      <c r="A208" s="11" t="s">
        <v>144</v>
      </c>
      <c r="B208" s="3">
        <f>61620.62+21972.51+1042677.98+17306.34</f>
        <v>1143577.45</v>
      </c>
      <c r="C208" s="3">
        <f>54081.24+21972.51+1042677.98+17306.34</f>
        <v>1136038.07</v>
      </c>
      <c r="D208" s="3">
        <v>1222644.2</v>
      </c>
      <c r="E208" s="3">
        <f t="shared" si="11"/>
        <v>-79066.75</v>
      </c>
      <c r="F208" s="3">
        <f t="shared" si="9"/>
        <v>-86606.129999999888</v>
      </c>
      <c r="G208" s="3">
        <f t="shared" si="10"/>
        <v>7539.3799999998882</v>
      </c>
    </row>
    <row r="209" spans="1:7" x14ac:dyDescent="0.25">
      <c r="A209" s="11" t="s">
        <v>145</v>
      </c>
      <c r="B209" s="3">
        <f>56467.3+3104.24</f>
        <v>59571.54</v>
      </c>
      <c r="C209" s="3">
        <f>42077.91+3104.24</f>
        <v>45182.15</v>
      </c>
      <c r="D209" s="3">
        <v>58789.84</v>
      </c>
      <c r="E209" s="3">
        <f t="shared" si="11"/>
        <v>781.70000000000437</v>
      </c>
      <c r="F209" s="3">
        <f t="shared" si="9"/>
        <v>-13607.689999999995</v>
      </c>
      <c r="G209" s="3">
        <f t="shared" si="10"/>
        <v>14389.39</v>
      </c>
    </row>
    <row r="210" spans="1:7" x14ac:dyDescent="0.25">
      <c r="A210" s="11" t="s">
        <v>146</v>
      </c>
      <c r="B210" s="3">
        <f>52891.2+4909.17</f>
        <v>57800.369999999995</v>
      </c>
      <c r="C210" s="3">
        <f>33660.83+4909.17</f>
        <v>38570</v>
      </c>
      <c r="D210" s="3">
        <v>56292.29</v>
      </c>
      <c r="E210" s="3">
        <f t="shared" si="11"/>
        <v>1508.0799999999945</v>
      </c>
      <c r="F210" s="3">
        <f t="shared" si="9"/>
        <v>-17722.29</v>
      </c>
      <c r="G210" s="3">
        <f t="shared" si="10"/>
        <v>19230.369999999995</v>
      </c>
    </row>
    <row r="211" spans="1:7" x14ac:dyDescent="0.25">
      <c r="A211" s="11" t="s">
        <v>147</v>
      </c>
      <c r="B211" s="3">
        <f>35153.31+7741.34</f>
        <v>42894.649999999994</v>
      </c>
      <c r="C211" s="3">
        <f>29025.15+7741.34</f>
        <v>36766.490000000005</v>
      </c>
      <c r="D211" s="3">
        <v>48448.78</v>
      </c>
      <c r="E211" s="3">
        <f t="shared" si="11"/>
        <v>-5554.1300000000047</v>
      </c>
      <c r="F211" s="3">
        <f t="shared" si="9"/>
        <v>-11682.289999999994</v>
      </c>
      <c r="G211" s="3">
        <f t="shared" si="10"/>
        <v>6128.1599999999889</v>
      </c>
    </row>
    <row r="212" spans="1:7" x14ac:dyDescent="0.25">
      <c r="A212" s="11" t="s">
        <v>148</v>
      </c>
      <c r="B212" s="3">
        <f>45988.72+736.58</f>
        <v>46725.3</v>
      </c>
      <c r="C212" s="3">
        <f>32736.24+736.58</f>
        <v>33472.82</v>
      </c>
      <c r="D212" s="3">
        <v>47713.49</v>
      </c>
      <c r="E212" s="3">
        <f t="shared" si="11"/>
        <v>-988.18999999999505</v>
      </c>
      <c r="F212" s="3">
        <f t="shared" si="9"/>
        <v>-14240.669999999998</v>
      </c>
      <c r="G212" s="3">
        <f t="shared" si="10"/>
        <v>13252.480000000003</v>
      </c>
    </row>
    <row r="213" spans="1:7" x14ac:dyDescent="0.25">
      <c r="A213" s="11" t="s">
        <v>149</v>
      </c>
      <c r="B213" s="3">
        <f>49273.39+7439.62</f>
        <v>56713.01</v>
      </c>
      <c r="C213" s="3">
        <f>40511.47+7439.62</f>
        <v>47951.090000000004</v>
      </c>
      <c r="D213" s="3">
        <v>73217.009999999995</v>
      </c>
      <c r="E213" s="3">
        <f t="shared" si="11"/>
        <v>-16503.999999999993</v>
      </c>
      <c r="F213" s="3">
        <f t="shared" si="9"/>
        <v>-25265.919999999991</v>
      </c>
      <c r="G213" s="3">
        <f t="shared" si="10"/>
        <v>8761.9199999999983</v>
      </c>
    </row>
    <row r="214" spans="1:7" x14ac:dyDescent="0.25">
      <c r="A214" s="11" t="s">
        <v>150</v>
      </c>
      <c r="B214" s="3">
        <f>208660.46+30199.13+1016.95</f>
        <v>239876.54</v>
      </c>
      <c r="C214" s="3">
        <f>177000.96+30199.13+1016.95</f>
        <v>208217.04</v>
      </c>
      <c r="D214" s="3">
        <v>201375.66</v>
      </c>
      <c r="E214" s="3">
        <f t="shared" si="11"/>
        <v>38500.880000000005</v>
      </c>
      <c r="F214" s="3">
        <f t="shared" si="9"/>
        <v>6841.3800000000047</v>
      </c>
      <c r="G214" s="3">
        <f t="shared" si="10"/>
        <v>31659.5</v>
      </c>
    </row>
    <row r="215" spans="1:7" x14ac:dyDescent="0.25">
      <c r="A215" s="11" t="s">
        <v>151</v>
      </c>
      <c r="B215" s="3">
        <f>128874.2+22944.78+1016.95</f>
        <v>152835.93</v>
      </c>
      <c r="C215" s="3">
        <f>121918.18+22944.78+1016.95</f>
        <v>145879.91</v>
      </c>
      <c r="D215" s="3">
        <v>195951.19</v>
      </c>
      <c r="E215" s="3">
        <f t="shared" si="11"/>
        <v>-43115.260000000009</v>
      </c>
      <c r="F215" s="3">
        <f t="shared" si="9"/>
        <v>-50071.28</v>
      </c>
      <c r="G215" s="3">
        <f t="shared" si="10"/>
        <v>6956.0199999999895</v>
      </c>
    </row>
    <row r="216" spans="1:7" x14ac:dyDescent="0.25">
      <c r="A216" s="11" t="s">
        <v>152</v>
      </c>
      <c r="B216" s="3">
        <f>208513.8+26122.06+32737.92+1016.95</f>
        <v>268390.73</v>
      </c>
      <c r="C216" s="3">
        <f>197638.4+26122.06+32737.92+1016.95</f>
        <v>257515.33000000002</v>
      </c>
      <c r="D216" s="3">
        <v>1566063.16</v>
      </c>
      <c r="E216" s="3">
        <f t="shared" si="11"/>
        <v>-1297672.43</v>
      </c>
      <c r="F216" s="3">
        <f t="shared" si="9"/>
        <v>-1308547.8299999998</v>
      </c>
      <c r="G216" s="3">
        <f t="shared" si="10"/>
        <v>10875.399999999965</v>
      </c>
    </row>
    <row r="217" spans="1:7" x14ac:dyDescent="0.25">
      <c r="A217" s="11" t="s">
        <v>153</v>
      </c>
      <c r="B217" s="3">
        <f>125797.58+11772.53</f>
        <v>137570.11000000002</v>
      </c>
      <c r="C217" s="3">
        <f>118460.42+11772.53</f>
        <v>130232.95</v>
      </c>
      <c r="D217" s="3">
        <v>181142.41</v>
      </c>
      <c r="E217" s="3">
        <f t="shared" si="11"/>
        <v>-43572.299999999988</v>
      </c>
      <c r="F217" s="3">
        <f t="shared" si="9"/>
        <v>-50909.460000000006</v>
      </c>
      <c r="G217" s="3">
        <f t="shared" si="10"/>
        <v>7337.160000000018</v>
      </c>
    </row>
    <row r="218" spans="1:7" x14ac:dyDescent="0.25">
      <c r="A218" s="11" t="s">
        <v>154</v>
      </c>
      <c r="B218" s="3">
        <f>221710.76+34417.29+149820+18001.67</f>
        <v>423949.72000000003</v>
      </c>
      <c r="C218" s="3">
        <f>208695.48+34417.29+149820+18001.67</f>
        <v>410934.44</v>
      </c>
      <c r="D218" s="3">
        <v>1722784.4</v>
      </c>
      <c r="E218" s="3">
        <f t="shared" si="11"/>
        <v>-1298834.68</v>
      </c>
      <c r="F218" s="3">
        <f t="shared" si="9"/>
        <v>-1311849.96</v>
      </c>
      <c r="G218" s="3">
        <f t="shared" si="10"/>
        <v>13015.280000000028</v>
      </c>
    </row>
    <row r="219" spans="1:7" x14ac:dyDescent="0.25">
      <c r="A219" s="11" t="s">
        <v>155</v>
      </c>
      <c r="B219" s="3">
        <f>117934.21+22021.35+170874.19</f>
        <v>310829.75</v>
      </c>
      <c r="C219" s="3">
        <f>111784.37+22021.35+170874.19</f>
        <v>304679.91000000003</v>
      </c>
      <c r="D219" s="3">
        <v>198871.19</v>
      </c>
      <c r="E219" s="3">
        <f t="shared" si="11"/>
        <v>111958.56</v>
      </c>
      <c r="F219" s="3">
        <f t="shared" si="9"/>
        <v>105808.72000000003</v>
      </c>
      <c r="G219" s="3">
        <f t="shared" si="10"/>
        <v>6149.8399999999674</v>
      </c>
    </row>
    <row r="220" spans="1:7" x14ac:dyDescent="0.25">
      <c r="A220" s="11" t="s">
        <v>156</v>
      </c>
      <c r="B220" s="3">
        <f>300196.53+66427.15+159629.11+210971.53</f>
        <v>737224.32000000007</v>
      </c>
      <c r="C220" s="3">
        <f>303295.57+66427.15+210971.53+159629.11</f>
        <v>740323.36</v>
      </c>
      <c r="D220" s="3">
        <v>514589.43</v>
      </c>
      <c r="E220" s="3">
        <f t="shared" si="11"/>
        <v>222634.89000000007</v>
      </c>
      <c r="F220" s="3">
        <f t="shared" si="9"/>
        <v>225733.93</v>
      </c>
      <c r="G220" s="3">
        <f t="shared" si="10"/>
        <v>-3099.0399999999208</v>
      </c>
    </row>
    <row r="221" spans="1:7" x14ac:dyDescent="0.25">
      <c r="A221" s="11" t="s">
        <v>157</v>
      </c>
      <c r="B221" s="3">
        <f>54467.31+2721.18+19227.8</f>
        <v>76416.289999999994</v>
      </c>
      <c r="C221" s="3">
        <f>50998.82+2721.18+19227.8</f>
        <v>72947.8</v>
      </c>
      <c r="D221" s="3">
        <v>53556.56</v>
      </c>
      <c r="E221" s="3">
        <f t="shared" si="11"/>
        <v>22859.729999999996</v>
      </c>
      <c r="F221" s="3">
        <f t="shared" si="9"/>
        <v>19391.240000000005</v>
      </c>
      <c r="G221" s="3">
        <f t="shared" si="10"/>
        <v>3468.4899999999907</v>
      </c>
    </row>
    <row r="222" spans="1:7" x14ac:dyDescent="0.25">
      <c r="A222" s="11" t="s">
        <v>158</v>
      </c>
      <c r="B222" s="3">
        <f>324826.31+3785.2</f>
        <v>328611.51</v>
      </c>
      <c r="C222" s="3">
        <f>275001.65+3785.2</f>
        <v>278786.85000000003</v>
      </c>
      <c r="D222" s="3">
        <v>294139.03000000003</v>
      </c>
      <c r="E222" s="3">
        <f t="shared" si="11"/>
        <v>34472.479999999981</v>
      </c>
      <c r="F222" s="3">
        <f t="shared" si="9"/>
        <v>-15352.179999999993</v>
      </c>
      <c r="G222" s="3">
        <f t="shared" si="10"/>
        <v>49824.659999999974</v>
      </c>
    </row>
    <row r="223" spans="1:7" x14ac:dyDescent="0.25">
      <c r="A223" s="11" t="s">
        <v>159</v>
      </c>
      <c r="B223" s="3">
        <f>332637.64+59195.61+33254.93</f>
        <v>425088.18</v>
      </c>
      <c r="C223" s="3">
        <f>339785.12+59195.61+33254.93</f>
        <v>432235.66</v>
      </c>
      <c r="D223" s="3">
        <v>324107.11</v>
      </c>
      <c r="E223" s="3">
        <f t="shared" si="11"/>
        <v>100981.07</v>
      </c>
      <c r="F223" s="3">
        <f t="shared" si="9"/>
        <v>108128.54999999999</v>
      </c>
      <c r="G223" s="3">
        <f t="shared" si="10"/>
        <v>-7147.4799999999814</v>
      </c>
    </row>
    <row r="224" spans="1:7" x14ac:dyDescent="0.25">
      <c r="A224" s="11" t="s">
        <v>160</v>
      </c>
      <c r="B224" s="3">
        <f>124594.41+31731.89+33304.27</f>
        <v>189630.56999999998</v>
      </c>
      <c r="C224" s="3">
        <f>119526.45+31731.89+33304.27</f>
        <v>184562.61</v>
      </c>
      <c r="D224" s="3">
        <v>268579.71999999997</v>
      </c>
      <c r="E224" s="3">
        <f t="shared" si="11"/>
        <v>-78949.149999999994</v>
      </c>
      <c r="F224" s="3">
        <f t="shared" si="9"/>
        <v>-84017.109999999986</v>
      </c>
      <c r="G224" s="3">
        <f t="shared" si="10"/>
        <v>5067.9599999999919</v>
      </c>
    </row>
    <row r="225" spans="1:7" x14ac:dyDescent="0.25">
      <c r="A225" s="11" t="s">
        <v>161</v>
      </c>
      <c r="B225" s="3">
        <f>331079.06+53697.59+2033.9</f>
        <v>386810.55000000005</v>
      </c>
      <c r="C225" s="3">
        <f>304190.24+53697.59+2033.9</f>
        <v>359921.73</v>
      </c>
      <c r="D225" s="3">
        <v>232529.79</v>
      </c>
      <c r="E225" s="3">
        <f t="shared" si="11"/>
        <v>154280.76000000004</v>
      </c>
      <c r="F225" s="3">
        <f t="shared" si="9"/>
        <v>127391.93999999997</v>
      </c>
      <c r="G225" s="3">
        <f t="shared" si="10"/>
        <v>26888.820000000065</v>
      </c>
    </row>
    <row r="226" spans="1:7" x14ac:dyDescent="0.25">
      <c r="A226" s="11" t="s">
        <v>162</v>
      </c>
      <c r="B226" s="3">
        <f>231759.43+16541.49+2033.9</f>
        <v>250334.81999999998</v>
      </c>
      <c r="C226" s="3">
        <f>225508.63+16541.49+2033.9</f>
        <v>244084.02</v>
      </c>
      <c r="D226" s="3">
        <v>191897.69</v>
      </c>
      <c r="E226" s="3">
        <f t="shared" si="11"/>
        <v>58437.129999999976</v>
      </c>
      <c r="F226" s="3">
        <f t="shared" si="9"/>
        <v>52186.329999999987</v>
      </c>
      <c r="G226" s="3">
        <f t="shared" si="10"/>
        <v>6250.7999999999884</v>
      </c>
    </row>
    <row r="227" spans="1:7" x14ac:dyDescent="0.25">
      <c r="A227" s="11" t="s">
        <v>163</v>
      </c>
      <c r="B227" s="3">
        <f>339193.8+52739.7+2033.9</f>
        <v>393967.4</v>
      </c>
      <c r="C227" s="3">
        <f>318034.58+52739.7+2033.9</f>
        <v>372808.18000000005</v>
      </c>
      <c r="D227" s="3">
        <v>374805.73</v>
      </c>
      <c r="E227" s="3">
        <f t="shared" si="11"/>
        <v>19161.670000000042</v>
      </c>
      <c r="F227" s="3">
        <f t="shared" si="9"/>
        <v>-1997.5499999999302</v>
      </c>
      <c r="G227" s="3">
        <f t="shared" si="10"/>
        <v>21159.219999999972</v>
      </c>
    </row>
    <row r="228" spans="1:7" x14ac:dyDescent="0.25">
      <c r="A228" s="11" t="s">
        <v>297</v>
      </c>
      <c r="B228" s="3">
        <f>168381.11+27382.17+5035.91</f>
        <v>200799.18999999997</v>
      </c>
      <c r="C228" s="3">
        <f>156333.5+27382.17+5035.91</f>
        <v>188751.58</v>
      </c>
      <c r="D228" s="3">
        <v>169169.49</v>
      </c>
      <c r="E228" s="3">
        <f t="shared" si="11"/>
        <v>31629.699999999983</v>
      </c>
      <c r="F228" s="3">
        <f t="shared" si="9"/>
        <v>19582.089999999997</v>
      </c>
      <c r="G228" s="3">
        <f t="shared" si="10"/>
        <v>12047.609999999986</v>
      </c>
    </row>
    <row r="229" spans="1:7" x14ac:dyDescent="0.25">
      <c r="A229" s="11" t="s">
        <v>164</v>
      </c>
      <c r="B229" s="3">
        <f>203401.29+44970.25</f>
        <v>248371.54</v>
      </c>
      <c r="C229" s="3">
        <f>205861.91+44970.25</f>
        <v>250832.16</v>
      </c>
      <c r="D229" s="3">
        <v>200031.26</v>
      </c>
      <c r="E229" s="3">
        <f t="shared" si="11"/>
        <v>48340.28</v>
      </c>
      <c r="F229" s="3">
        <f t="shared" si="9"/>
        <v>50800.899999999994</v>
      </c>
      <c r="G229" s="3">
        <f t="shared" si="10"/>
        <v>-2460.6199999999953</v>
      </c>
    </row>
    <row r="230" spans="1:7" x14ac:dyDescent="0.25">
      <c r="A230" s="11" t="s">
        <v>165</v>
      </c>
      <c r="B230" s="3">
        <f>130665.34+29592.77+2033.9</f>
        <v>162292.00999999998</v>
      </c>
      <c r="C230" s="3">
        <f>128748.61+29592.77+2033.9</f>
        <v>160375.28</v>
      </c>
      <c r="D230" s="3">
        <v>132216.14000000001</v>
      </c>
      <c r="E230" s="3">
        <f t="shared" si="11"/>
        <v>30075.869999999966</v>
      </c>
      <c r="F230" s="3">
        <f t="shared" si="9"/>
        <v>28159.139999999985</v>
      </c>
      <c r="G230" s="3">
        <f t="shared" si="10"/>
        <v>1916.7299999999814</v>
      </c>
    </row>
    <row r="231" spans="1:7" x14ac:dyDescent="0.25">
      <c r="A231" s="11" t="s">
        <v>166</v>
      </c>
      <c r="B231" s="3">
        <f>369179.51+51455.21</f>
        <v>420634.72000000003</v>
      </c>
      <c r="C231" s="3">
        <f>364510.27+51455.21</f>
        <v>415965.48000000004</v>
      </c>
      <c r="D231" s="3">
        <v>366508.97</v>
      </c>
      <c r="E231" s="3">
        <f t="shared" si="11"/>
        <v>54125.750000000058</v>
      </c>
      <c r="F231" s="3">
        <f t="shared" si="9"/>
        <v>49456.510000000068</v>
      </c>
      <c r="G231" s="3">
        <f t="shared" si="10"/>
        <v>4669.2399999999907</v>
      </c>
    </row>
    <row r="232" spans="1:7" x14ac:dyDescent="0.25">
      <c r="A232" s="11" t="s">
        <v>298</v>
      </c>
      <c r="B232" s="3">
        <f>165745.2+36592.61</f>
        <v>202337.81</v>
      </c>
      <c r="C232" s="3">
        <f>168252.13+36592.61</f>
        <v>204844.74</v>
      </c>
      <c r="D232" s="3">
        <v>158629.79</v>
      </c>
      <c r="E232" s="3">
        <f t="shared" si="11"/>
        <v>43708.01999999999</v>
      </c>
      <c r="F232" s="3">
        <f t="shared" si="9"/>
        <v>46214.949999999983</v>
      </c>
      <c r="G232" s="3">
        <f t="shared" si="10"/>
        <v>-2506.929999999993</v>
      </c>
    </row>
    <row r="233" spans="1:7" x14ac:dyDescent="0.25">
      <c r="A233" s="11" t="s">
        <v>167</v>
      </c>
      <c r="B233" s="3">
        <f>201752.86+36891.8+452416.23</f>
        <v>691060.8899999999</v>
      </c>
      <c r="C233" s="3">
        <f>184133.6+36891.8+452416.23</f>
        <v>673441.63</v>
      </c>
      <c r="D233" s="3">
        <v>749208.88</v>
      </c>
      <c r="E233" s="3">
        <f t="shared" si="11"/>
        <v>-58147.990000000107</v>
      </c>
      <c r="F233" s="3">
        <f t="shared" si="9"/>
        <v>-75767.25</v>
      </c>
      <c r="G233" s="3">
        <f t="shared" si="10"/>
        <v>17619.259999999893</v>
      </c>
    </row>
    <row r="234" spans="1:7" x14ac:dyDescent="0.25">
      <c r="A234" s="11" t="s">
        <v>168</v>
      </c>
      <c r="B234" s="3">
        <f>216434.61+31747.78</f>
        <v>248182.38999999998</v>
      </c>
      <c r="C234" s="3">
        <f>211184.64+31747.78</f>
        <v>242932.42</v>
      </c>
      <c r="D234" s="3">
        <v>167489.56</v>
      </c>
      <c r="E234" s="3">
        <f t="shared" si="11"/>
        <v>80692.829999999987</v>
      </c>
      <c r="F234" s="3">
        <f t="shared" si="9"/>
        <v>75442.860000000015</v>
      </c>
      <c r="G234" s="3">
        <f t="shared" si="10"/>
        <v>5249.9699999999721</v>
      </c>
    </row>
    <row r="235" spans="1:7" x14ac:dyDescent="0.25">
      <c r="A235" s="11" t="s">
        <v>169</v>
      </c>
      <c r="B235" s="3">
        <f>376723.43+94704.65+1016.95</f>
        <v>472445.02999999997</v>
      </c>
      <c r="C235" s="3">
        <f>372214.36+94704.65+1016.95</f>
        <v>467935.96</v>
      </c>
      <c r="D235" s="3">
        <v>301835.40000000002</v>
      </c>
      <c r="E235" s="3">
        <f t="shared" si="11"/>
        <v>170609.62999999995</v>
      </c>
      <c r="F235" s="3">
        <f t="shared" si="9"/>
        <v>166100.56</v>
      </c>
      <c r="G235" s="3">
        <f t="shared" si="10"/>
        <v>4509.0699999999488</v>
      </c>
    </row>
    <row r="236" spans="1:7" x14ac:dyDescent="0.25">
      <c r="A236" s="11" t="s">
        <v>299</v>
      </c>
      <c r="B236" s="3">
        <f>415394.61+6906.37</f>
        <v>422300.98</v>
      </c>
      <c r="C236" s="3">
        <f>373740.95+6906.37</f>
        <v>380647.32</v>
      </c>
      <c r="D236" s="3">
        <v>1305897.44</v>
      </c>
      <c r="E236" s="3">
        <f t="shared" si="11"/>
        <v>-883596.46</v>
      </c>
      <c r="F236" s="3">
        <f t="shared" si="9"/>
        <v>-925250.11999999988</v>
      </c>
      <c r="G236" s="3">
        <f t="shared" si="10"/>
        <v>41653.659999999974</v>
      </c>
    </row>
    <row r="237" spans="1:7" x14ac:dyDescent="0.25">
      <c r="A237" s="11" t="s">
        <v>170</v>
      </c>
      <c r="B237" s="3">
        <f>124313.93+34296.13+70671.4</f>
        <v>229281.46</v>
      </c>
      <c r="C237" s="3">
        <f>113441.15+34296.13+70671.4</f>
        <v>218408.68</v>
      </c>
      <c r="D237" s="3">
        <v>168954.56</v>
      </c>
      <c r="E237" s="3">
        <f t="shared" si="11"/>
        <v>60326.899999999994</v>
      </c>
      <c r="F237" s="3">
        <f t="shared" si="9"/>
        <v>49454.119999999995</v>
      </c>
      <c r="G237" s="3">
        <f t="shared" si="10"/>
        <v>10872.779999999999</v>
      </c>
    </row>
    <row r="238" spans="1:7" x14ac:dyDescent="0.25">
      <c r="A238" s="11" t="s">
        <v>171</v>
      </c>
      <c r="B238" s="3">
        <f>135305.58+30919.8</f>
        <v>166225.37999999998</v>
      </c>
      <c r="C238" s="3">
        <f>126756.72+30919.8</f>
        <v>157676.51999999999</v>
      </c>
      <c r="D238" s="3">
        <v>174947.37</v>
      </c>
      <c r="E238" s="3">
        <f t="shared" si="11"/>
        <v>-8721.9900000000198</v>
      </c>
      <c r="F238" s="3">
        <f t="shared" si="9"/>
        <v>-17270.850000000006</v>
      </c>
      <c r="G238" s="3">
        <f t="shared" si="10"/>
        <v>8548.859999999986</v>
      </c>
    </row>
    <row r="239" spans="1:7" x14ac:dyDescent="0.25">
      <c r="A239" s="11" t="s">
        <v>300</v>
      </c>
      <c r="B239" s="3">
        <f>335935.62+78394.74+17839.49</f>
        <v>432169.85</v>
      </c>
      <c r="C239" s="3">
        <f>329068.91+78394.74+17839.49</f>
        <v>425303.13999999996</v>
      </c>
      <c r="D239" s="3">
        <v>267053.21000000002</v>
      </c>
      <c r="E239" s="3">
        <f t="shared" si="11"/>
        <v>165116.63999999996</v>
      </c>
      <c r="F239" s="3">
        <f t="shared" si="9"/>
        <v>158249.92999999993</v>
      </c>
      <c r="G239" s="3">
        <f t="shared" si="10"/>
        <v>6866.710000000021</v>
      </c>
    </row>
    <row r="240" spans="1:7" x14ac:dyDescent="0.25">
      <c r="A240" s="11" t="s">
        <v>172</v>
      </c>
      <c r="B240" s="3">
        <f>199177.9+39184.66+5832.81</f>
        <v>244195.37</v>
      </c>
      <c r="C240" s="3">
        <f>194538.45+39184.66+5832.81</f>
        <v>239555.92</v>
      </c>
      <c r="D240" s="3">
        <v>255948.42</v>
      </c>
      <c r="E240" s="3">
        <f t="shared" si="11"/>
        <v>-11753.050000000017</v>
      </c>
      <c r="F240" s="3">
        <f t="shared" si="9"/>
        <v>-16392.5</v>
      </c>
      <c r="G240" s="3">
        <f t="shared" si="10"/>
        <v>4639.4499999999825</v>
      </c>
    </row>
    <row r="241" spans="1:7" x14ac:dyDescent="0.25">
      <c r="A241" s="11" t="s">
        <v>173</v>
      </c>
      <c r="B241" s="3">
        <f>129464.42+28996.65+1016.95</f>
        <v>159478.02000000002</v>
      </c>
      <c r="C241" s="3">
        <f>127030.12+28996.65+1016.95</f>
        <v>157043.72</v>
      </c>
      <c r="D241" s="3">
        <v>204035.22</v>
      </c>
      <c r="E241" s="3">
        <f t="shared" si="11"/>
        <v>-44557.199999999983</v>
      </c>
      <c r="F241" s="3">
        <f t="shared" si="9"/>
        <v>-46991.5</v>
      </c>
      <c r="G241" s="3">
        <f t="shared" si="10"/>
        <v>2434.3000000000175</v>
      </c>
    </row>
    <row r="242" spans="1:7" x14ac:dyDescent="0.25">
      <c r="A242" s="11" t="s">
        <v>301</v>
      </c>
      <c r="B242" s="3">
        <f>104090.54+33021.22</f>
        <v>137111.76</v>
      </c>
      <c r="C242" s="3">
        <f>96240.37+33021.92</f>
        <v>129262.29</v>
      </c>
      <c r="D242" s="3">
        <v>216858.56</v>
      </c>
      <c r="E242" s="3">
        <f t="shared" si="11"/>
        <v>-79746.799999999988</v>
      </c>
      <c r="F242" s="3">
        <f t="shared" si="9"/>
        <v>-87596.27</v>
      </c>
      <c r="G242" s="3">
        <f t="shared" si="10"/>
        <v>7849.4700000000157</v>
      </c>
    </row>
    <row r="243" spans="1:7" x14ac:dyDescent="0.25">
      <c r="A243" s="11" t="s">
        <v>302</v>
      </c>
      <c r="B243" s="3">
        <f>38193.74+11181.92</f>
        <v>49375.659999999996</v>
      </c>
      <c r="C243" s="3">
        <f>32619.22+11181.92</f>
        <v>43801.14</v>
      </c>
      <c r="D243" s="3">
        <v>37539.300000000003</v>
      </c>
      <c r="E243" s="3">
        <f t="shared" si="11"/>
        <v>11836.359999999993</v>
      </c>
      <c r="F243" s="3">
        <f t="shared" ref="F243:F306" si="12">C243-D243</f>
        <v>6261.8399999999965</v>
      </c>
      <c r="G243" s="3">
        <f t="shared" si="10"/>
        <v>5574.5199999999968</v>
      </c>
    </row>
    <row r="244" spans="1:7" x14ac:dyDescent="0.25">
      <c r="A244" s="11" t="s">
        <v>174</v>
      </c>
      <c r="B244" s="3">
        <f>117180.82+37801.59</f>
        <v>154982.41</v>
      </c>
      <c r="C244" s="3">
        <f>116845.23+37801.59</f>
        <v>154646.82</v>
      </c>
      <c r="D244" s="3">
        <v>137721.69</v>
      </c>
      <c r="E244" s="3">
        <f t="shared" si="11"/>
        <v>17260.72</v>
      </c>
      <c r="F244" s="3">
        <f t="shared" si="12"/>
        <v>16925.130000000005</v>
      </c>
      <c r="G244" s="3">
        <f t="shared" si="10"/>
        <v>335.58999999999651</v>
      </c>
    </row>
    <row r="245" spans="1:7" x14ac:dyDescent="0.25">
      <c r="A245" s="11" t="s">
        <v>175</v>
      </c>
      <c r="B245" s="3">
        <f>135974.51+37413.18</f>
        <v>173387.69</v>
      </c>
      <c r="C245" s="3">
        <f>137556.84+37413.18</f>
        <v>174970.02</v>
      </c>
      <c r="D245" s="3">
        <v>237798.38</v>
      </c>
      <c r="E245" s="3">
        <f t="shared" si="11"/>
        <v>-64410.69</v>
      </c>
      <c r="F245" s="3">
        <f t="shared" si="12"/>
        <v>-62828.360000000015</v>
      </c>
      <c r="G245" s="3">
        <f t="shared" si="10"/>
        <v>-1582.3299999999872</v>
      </c>
    </row>
    <row r="246" spans="1:7" x14ac:dyDescent="0.25">
      <c r="A246" s="11" t="s">
        <v>176</v>
      </c>
      <c r="B246" s="3">
        <f>126583.4+26963.95+1016.95</f>
        <v>154564.30000000002</v>
      </c>
      <c r="C246" s="3">
        <f>92228.03+26963.95+1016.95</f>
        <v>120208.93</v>
      </c>
      <c r="D246" s="3">
        <v>276781.38</v>
      </c>
      <c r="E246" s="3">
        <f t="shared" si="11"/>
        <v>-122217.07999999999</v>
      </c>
      <c r="F246" s="3">
        <f t="shared" si="12"/>
        <v>-156572.45000000001</v>
      </c>
      <c r="G246" s="3">
        <f t="shared" si="10"/>
        <v>34355.370000000024</v>
      </c>
    </row>
    <row r="247" spans="1:7" x14ac:dyDescent="0.25">
      <c r="A247" s="11" t="s">
        <v>177</v>
      </c>
      <c r="B247" s="3">
        <f>111857.05+24884.98</f>
        <v>136742.03</v>
      </c>
      <c r="C247" s="3">
        <f>113432.81+24884.98</f>
        <v>138317.79</v>
      </c>
      <c r="D247" s="3">
        <v>233886.52</v>
      </c>
      <c r="E247" s="3">
        <f t="shared" si="11"/>
        <v>-97144.489999999991</v>
      </c>
      <c r="F247" s="3">
        <f t="shared" si="12"/>
        <v>-95568.729999999981</v>
      </c>
      <c r="G247" s="3">
        <f t="shared" si="10"/>
        <v>-1575.7600000000093</v>
      </c>
    </row>
    <row r="248" spans="1:7" x14ac:dyDescent="0.25">
      <c r="A248" s="11" t="s">
        <v>178</v>
      </c>
      <c r="B248" s="3">
        <f>138246.02+17085.85</f>
        <v>155331.87</v>
      </c>
      <c r="C248" s="3">
        <f>125542.08+17085.85</f>
        <v>142627.93</v>
      </c>
      <c r="D248" s="3">
        <v>170297.2</v>
      </c>
      <c r="E248" s="3">
        <f t="shared" si="11"/>
        <v>-14965.330000000016</v>
      </c>
      <c r="F248" s="3">
        <f t="shared" si="12"/>
        <v>-27669.270000000019</v>
      </c>
      <c r="G248" s="3">
        <f t="shared" si="10"/>
        <v>12703.940000000002</v>
      </c>
    </row>
    <row r="249" spans="1:7" x14ac:dyDescent="0.25">
      <c r="A249" s="11" t="s">
        <v>303</v>
      </c>
      <c r="B249" s="3">
        <f>139573.87+16799.98</f>
        <v>156373.85</v>
      </c>
      <c r="C249" s="3">
        <f>127346.87+16799.98</f>
        <v>144146.85</v>
      </c>
      <c r="D249" s="3">
        <v>281347.24</v>
      </c>
      <c r="E249" s="3">
        <f t="shared" si="11"/>
        <v>-124973.38999999998</v>
      </c>
      <c r="F249" s="3">
        <f t="shared" si="12"/>
        <v>-137200.38999999998</v>
      </c>
      <c r="G249" s="3">
        <f t="shared" si="10"/>
        <v>12227</v>
      </c>
    </row>
    <row r="250" spans="1:7" x14ac:dyDescent="0.25">
      <c r="A250" s="11" t="s">
        <v>179</v>
      </c>
      <c r="B250" s="3">
        <f>108048.66+29646.88</f>
        <v>137695.54</v>
      </c>
      <c r="C250" s="3">
        <f>111437.23+29646.88</f>
        <v>141084.10999999999</v>
      </c>
      <c r="D250" s="3">
        <v>112319.86</v>
      </c>
      <c r="E250" s="3">
        <f t="shared" si="11"/>
        <v>25375.680000000008</v>
      </c>
      <c r="F250" s="3">
        <f t="shared" si="12"/>
        <v>28764.249999999985</v>
      </c>
      <c r="G250" s="3">
        <f t="shared" si="10"/>
        <v>-3388.5699999999779</v>
      </c>
    </row>
    <row r="251" spans="1:7" x14ac:dyDescent="0.25">
      <c r="A251" s="11" t="s">
        <v>180</v>
      </c>
      <c r="B251" s="3">
        <f>93204.7+12735.53</f>
        <v>105940.23</v>
      </c>
      <c r="C251" s="3">
        <f>94947.65+12735.53</f>
        <v>107683.18</v>
      </c>
      <c r="D251" s="3">
        <v>150351.51</v>
      </c>
      <c r="E251" s="3">
        <f t="shared" si="11"/>
        <v>-44411.280000000013</v>
      </c>
      <c r="F251" s="3">
        <f t="shared" si="12"/>
        <v>-42668.330000000016</v>
      </c>
      <c r="G251" s="3">
        <f t="shared" si="10"/>
        <v>-1742.9499999999971</v>
      </c>
    </row>
    <row r="252" spans="1:7" x14ac:dyDescent="0.25">
      <c r="A252" s="11" t="s">
        <v>181</v>
      </c>
      <c r="B252" s="3">
        <f>88633.54+12708.57+1016.95</f>
        <v>102359.05999999998</v>
      </c>
      <c r="C252" s="3">
        <f>83965.48+12708.57+1016.95</f>
        <v>97690.999999999985</v>
      </c>
      <c r="D252" s="3">
        <v>67657.179999999993</v>
      </c>
      <c r="E252" s="3">
        <f t="shared" si="11"/>
        <v>34701.87999999999</v>
      </c>
      <c r="F252" s="3">
        <f t="shared" si="12"/>
        <v>30033.819999999992</v>
      </c>
      <c r="G252" s="3">
        <f t="shared" si="10"/>
        <v>4668.0599999999977</v>
      </c>
    </row>
    <row r="253" spans="1:7" x14ac:dyDescent="0.25">
      <c r="A253" s="11" t="s">
        <v>182</v>
      </c>
      <c r="B253" s="3">
        <f>36935.88+9324.12</f>
        <v>46260</v>
      </c>
      <c r="C253" s="3">
        <f>39319.29+9324.12</f>
        <v>48643.41</v>
      </c>
      <c r="D253" s="3">
        <v>77458.009999999995</v>
      </c>
      <c r="E253" s="3">
        <f t="shared" si="11"/>
        <v>-31198.009999999995</v>
      </c>
      <c r="F253" s="3">
        <f t="shared" si="12"/>
        <v>-28814.599999999991</v>
      </c>
      <c r="G253" s="3">
        <f t="shared" si="10"/>
        <v>-2383.4100000000035</v>
      </c>
    </row>
    <row r="254" spans="1:7" x14ac:dyDescent="0.25">
      <c r="A254" s="11" t="s">
        <v>183</v>
      </c>
      <c r="B254" s="3">
        <f>51690.54+11861.75</f>
        <v>63552.29</v>
      </c>
      <c r="C254" s="3">
        <f>50618.55+11861.75</f>
        <v>62480.3</v>
      </c>
      <c r="D254" s="3">
        <v>126978.6</v>
      </c>
      <c r="E254" s="3">
        <f t="shared" si="11"/>
        <v>-63426.310000000005</v>
      </c>
      <c r="F254" s="3">
        <f t="shared" si="12"/>
        <v>-64498.3</v>
      </c>
      <c r="G254" s="3">
        <f t="shared" si="10"/>
        <v>1071.989999999998</v>
      </c>
    </row>
    <row r="255" spans="1:7" x14ac:dyDescent="0.25">
      <c r="A255" s="11" t="s">
        <v>184</v>
      </c>
      <c r="B255" s="3">
        <f>24118.33+5659.18</f>
        <v>29777.510000000002</v>
      </c>
      <c r="C255" s="3">
        <f>26002.86+5659.18</f>
        <v>31662.04</v>
      </c>
      <c r="D255" s="3">
        <v>60615.28</v>
      </c>
      <c r="E255" s="3">
        <f t="shared" si="11"/>
        <v>-30837.769999999997</v>
      </c>
      <c r="F255" s="3">
        <f t="shared" si="12"/>
        <v>-28953.239999999998</v>
      </c>
      <c r="G255" s="3">
        <f t="shared" si="10"/>
        <v>-1884.5299999999988</v>
      </c>
    </row>
    <row r="256" spans="1:7" x14ac:dyDescent="0.25">
      <c r="A256" s="11" t="s">
        <v>185</v>
      </c>
      <c r="B256" s="3">
        <f>25840.35+5374.69+146248.97</f>
        <v>177464.01</v>
      </c>
      <c r="C256" s="3">
        <f>24063.68+5374.69+146248.97</f>
        <v>175687.34</v>
      </c>
      <c r="D256" s="3">
        <v>76714.05</v>
      </c>
      <c r="E256" s="3">
        <f t="shared" si="11"/>
        <v>100749.96</v>
      </c>
      <c r="F256" s="3">
        <f t="shared" si="12"/>
        <v>98973.29</v>
      </c>
      <c r="G256" s="3">
        <f t="shared" si="10"/>
        <v>1776.6700000000128</v>
      </c>
    </row>
    <row r="257" spans="1:7" x14ac:dyDescent="0.25">
      <c r="A257" s="11" t="s">
        <v>186</v>
      </c>
      <c r="B257" s="3">
        <f>148434.15+35432.32+1016.95</f>
        <v>184883.42</v>
      </c>
      <c r="C257" s="3">
        <f>153222.37+35432.32+1016.95</f>
        <v>189671.64</v>
      </c>
      <c r="D257" s="3">
        <v>138848.82999999999</v>
      </c>
      <c r="E257" s="3">
        <f t="shared" si="11"/>
        <v>46034.590000000026</v>
      </c>
      <c r="F257" s="3">
        <f t="shared" si="12"/>
        <v>50822.810000000027</v>
      </c>
      <c r="G257" s="3">
        <f t="shared" si="10"/>
        <v>-4788.2200000000012</v>
      </c>
    </row>
    <row r="258" spans="1:7" x14ac:dyDescent="0.25">
      <c r="A258" s="11" t="s">
        <v>187</v>
      </c>
      <c r="B258" s="3">
        <f>66718.65+18663.33+408359.7+1016.95</f>
        <v>494758.63</v>
      </c>
      <c r="C258" s="3">
        <f>61852.52+18663.33+408359.7+1016.95</f>
        <v>489892.50000000006</v>
      </c>
      <c r="D258" s="3">
        <v>500922.2</v>
      </c>
      <c r="E258" s="3">
        <f t="shared" si="11"/>
        <v>-6163.570000000007</v>
      </c>
      <c r="F258" s="3">
        <f t="shared" si="12"/>
        <v>-11029.699999999953</v>
      </c>
      <c r="G258" s="3">
        <f t="shared" si="10"/>
        <v>4866.1299999999464</v>
      </c>
    </row>
    <row r="259" spans="1:7" x14ac:dyDescent="0.25">
      <c r="A259" s="11" t="s">
        <v>188</v>
      </c>
      <c r="B259" s="3">
        <f>96019.84+21576.43+378567.87</f>
        <v>496164.14</v>
      </c>
      <c r="C259" s="3">
        <f>88404.98+21576.43+378567.87</f>
        <v>488549.28</v>
      </c>
      <c r="D259" s="3">
        <v>514439.52</v>
      </c>
      <c r="E259" s="3">
        <f t="shared" si="11"/>
        <v>-18275.380000000005</v>
      </c>
      <c r="F259" s="3">
        <f t="shared" si="12"/>
        <v>-25890.239999999991</v>
      </c>
      <c r="G259" s="3">
        <f t="shared" si="10"/>
        <v>7614.859999999986</v>
      </c>
    </row>
    <row r="260" spans="1:7" x14ac:dyDescent="0.25">
      <c r="A260" s="11" t="s">
        <v>304</v>
      </c>
      <c r="B260" s="3">
        <f>78171.19+23721.26</f>
        <v>101892.45</v>
      </c>
      <c r="C260" s="3">
        <f>77534.07+23721.26</f>
        <v>101255.33</v>
      </c>
      <c r="D260" s="3">
        <v>76814.22</v>
      </c>
      <c r="E260" s="3">
        <f t="shared" si="11"/>
        <v>25078.229999999996</v>
      </c>
      <c r="F260" s="3">
        <f t="shared" si="12"/>
        <v>24441.11</v>
      </c>
      <c r="G260" s="3">
        <f t="shared" si="10"/>
        <v>637.11999999999534</v>
      </c>
    </row>
    <row r="261" spans="1:7" x14ac:dyDescent="0.25">
      <c r="A261" s="11" t="s">
        <v>305</v>
      </c>
      <c r="B261" s="3">
        <f>75405.92+12132.58</f>
        <v>87538.5</v>
      </c>
      <c r="C261" s="3">
        <f>76038.07+12132.58</f>
        <v>88170.650000000009</v>
      </c>
      <c r="D261" s="3">
        <v>113085.3</v>
      </c>
      <c r="E261" s="3">
        <f t="shared" si="11"/>
        <v>-25546.800000000003</v>
      </c>
      <c r="F261" s="3">
        <f t="shared" si="12"/>
        <v>-24914.649999999994</v>
      </c>
      <c r="G261" s="3">
        <f t="shared" si="10"/>
        <v>-632.15000000000873</v>
      </c>
    </row>
    <row r="262" spans="1:7" x14ac:dyDescent="0.25">
      <c r="A262" s="11" t="s">
        <v>306</v>
      </c>
      <c r="B262" s="3">
        <f>49968.28+12525.53</f>
        <v>62493.81</v>
      </c>
      <c r="C262" s="3">
        <f>47209.35+12525.53</f>
        <v>59734.879999999997</v>
      </c>
      <c r="D262" s="3">
        <v>89352.99</v>
      </c>
      <c r="E262" s="3">
        <f t="shared" si="11"/>
        <v>-26859.180000000008</v>
      </c>
      <c r="F262" s="3">
        <f t="shared" si="12"/>
        <v>-29618.110000000008</v>
      </c>
      <c r="G262" s="3">
        <f t="shared" ref="G262:G325" si="13">B262-C262</f>
        <v>2758.9300000000003</v>
      </c>
    </row>
    <row r="263" spans="1:7" x14ac:dyDescent="0.25">
      <c r="A263" s="11" t="s">
        <v>189</v>
      </c>
      <c r="B263" s="3">
        <f>122566.57+12329.92+837477.08</f>
        <v>972373.57</v>
      </c>
      <c r="C263" s="3">
        <f>119559.94+12329.92+837477.08</f>
        <v>969366.94</v>
      </c>
      <c r="D263" s="3">
        <v>978307.07</v>
      </c>
      <c r="E263" s="3">
        <f t="shared" ref="E263:E277" si="14">F263+G263</f>
        <v>-5933.5</v>
      </c>
      <c r="F263" s="3">
        <f t="shared" si="12"/>
        <v>-8940.1300000000047</v>
      </c>
      <c r="G263" s="3">
        <f t="shared" si="13"/>
        <v>3006.6300000000047</v>
      </c>
    </row>
    <row r="264" spans="1:7" x14ac:dyDescent="0.25">
      <c r="A264" s="11" t="s">
        <v>307</v>
      </c>
      <c r="B264" s="3">
        <f>67187.3+13716.37</f>
        <v>80903.67</v>
      </c>
      <c r="C264" s="3">
        <f>59874.39+13716.37</f>
        <v>73590.759999999995</v>
      </c>
      <c r="D264" s="3">
        <v>98368.42</v>
      </c>
      <c r="E264" s="3">
        <f t="shared" si="14"/>
        <v>-17464.75</v>
      </c>
      <c r="F264" s="3">
        <f t="shared" si="12"/>
        <v>-24777.660000000003</v>
      </c>
      <c r="G264" s="3">
        <f t="shared" si="13"/>
        <v>7312.9100000000035</v>
      </c>
    </row>
    <row r="265" spans="1:7" x14ac:dyDescent="0.25">
      <c r="A265" s="11" t="s">
        <v>190</v>
      </c>
      <c r="B265" s="3">
        <f>73121.42+11991.01+994712.71</f>
        <v>1079825.1399999999</v>
      </c>
      <c r="C265" s="3">
        <f>67473.83+11991.01+994712.71</f>
        <v>1074177.55</v>
      </c>
      <c r="D265" s="3">
        <v>1123556.1599999999</v>
      </c>
      <c r="E265" s="3">
        <f t="shared" si="14"/>
        <v>-43731.020000000019</v>
      </c>
      <c r="F265" s="3">
        <f t="shared" si="12"/>
        <v>-49378.60999999987</v>
      </c>
      <c r="G265" s="3">
        <f t="shared" si="13"/>
        <v>5647.589999999851</v>
      </c>
    </row>
    <row r="266" spans="1:7" x14ac:dyDescent="0.25">
      <c r="A266" s="11" t="s">
        <v>191</v>
      </c>
      <c r="B266" s="3">
        <f>95464.19+7854.63+733803.37</f>
        <v>837122.19</v>
      </c>
      <c r="C266" s="3">
        <f>74342.6+7854.63+733803.37</f>
        <v>816000.6</v>
      </c>
      <c r="D266" s="3">
        <v>872136.52</v>
      </c>
      <c r="E266" s="3">
        <f t="shared" si="14"/>
        <v>-35014.330000000075</v>
      </c>
      <c r="F266" s="3">
        <f t="shared" si="12"/>
        <v>-56135.920000000042</v>
      </c>
      <c r="G266" s="3">
        <f t="shared" si="13"/>
        <v>21121.589999999967</v>
      </c>
    </row>
    <row r="267" spans="1:7" x14ac:dyDescent="0.25">
      <c r="A267" s="11" t="s">
        <v>192</v>
      </c>
      <c r="B267" s="3">
        <f>91286.94+5744.04+1109343.87</f>
        <v>1206374.8500000001</v>
      </c>
      <c r="C267" s="3">
        <f>78420.77+5744.04+1109343.87</f>
        <v>1193508.6800000002</v>
      </c>
      <c r="D267" s="3">
        <v>1250295.8799999999</v>
      </c>
      <c r="E267" s="3">
        <f t="shared" si="14"/>
        <v>-43921.029999999795</v>
      </c>
      <c r="F267" s="3">
        <f t="shared" si="12"/>
        <v>-56787.199999999721</v>
      </c>
      <c r="G267" s="3">
        <f t="shared" si="13"/>
        <v>12866.169999999925</v>
      </c>
    </row>
    <row r="268" spans="1:7" x14ac:dyDescent="0.25">
      <c r="A268" s="11" t="s">
        <v>308</v>
      </c>
      <c r="B268" s="3">
        <f>78900.04+8094.5+714774.9</f>
        <v>801769.44000000006</v>
      </c>
      <c r="C268" s="3">
        <f>78285.39+8094.5+714774.9</f>
        <v>801154.79</v>
      </c>
      <c r="D268" s="3">
        <v>855505.39</v>
      </c>
      <c r="E268" s="3">
        <f t="shared" si="14"/>
        <v>-53735.949999999953</v>
      </c>
      <c r="F268" s="3">
        <f t="shared" si="12"/>
        <v>-54350.599999999977</v>
      </c>
      <c r="G268" s="3">
        <f t="shared" si="13"/>
        <v>614.65000000002328</v>
      </c>
    </row>
    <row r="269" spans="1:7" x14ac:dyDescent="0.25">
      <c r="A269" s="11" t="s">
        <v>193</v>
      </c>
      <c r="B269" s="3">
        <f>276253.06+41978.3+171092.01+53220.39</f>
        <v>542543.76</v>
      </c>
      <c r="C269" s="3">
        <f>290362.22+41978.3+171092.01+53220.39</f>
        <v>556652.91999999993</v>
      </c>
      <c r="D269" s="3">
        <v>444427.8</v>
      </c>
      <c r="E269" s="3">
        <f t="shared" si="14"/>
        <v>98115.960000000021</v>
      </c>
      <c r="F269" s="3">
        <f t="shared" si="12"/>
        <v>112225.11999999994</v>
      </c>
      <c r="G269" s="3">
        <f t="shared" si="13"/>
        <v>-14109.159999999916</v>
      </c>
    </row>
    <row r="270" spans="1:7" x14ac:dyDescent="0.25">
      <c r="A270" s="11" t="s">
        <v>194</v>
      </c>
      <c r="B270" s="3">
        <f>80836.4+15841.45+800604.42</f>
        <v>897282.27</v>
      </c>
      <c r="C270" s="3">
        <f>79700.91+15841.45+800604.42</f>
        <v>896146.78</v>
      </c>
      <c r="D270" s="3">
        <v>991581.72</v>
      </c>
      <c r="E270" s="3">
        <f t="shared" si="14"/>
        <v>-94299.449999999953</v>
      </c>
      <c r="F270" s="3">
        <f t="shared" si="12"/>
        <v>-95434.939999999944</v>
      </c>
      <c r="G270" s="3">
        <f t="shared" si="13"/>
        <v>1135.4899999999907</v>
      </c>
    </row>
    <row r="271" spans="1:7" x14ac:dyDescent="0.25">
      <c r="A271" s="11" t="s">
        <v>309</v>
      </c>
      <c r="B271" s="3">
        <f>80671.63+13414.39+509323</f>
        <v>603409.02</v>
      </c>
      <c r="C271" s="3">
        <f>83259.81+13414.39+509323</f>
        <v>605997.19999999995</v>
      </c>
      <c r="D271" s="3">
        <v>634548.64</v>
      </c>
      <c r="E271" s="3">
        <f t="shared" si="14"/>
        <v>-31139.619999999995</v>
      </c>
      <c r="F271" s="3">
        <f t="shared" si="12"/>
        <v>-28551.440000000061</v>
      </c>
      <c r="G271" s="3">
        <f t="shared" si="13"/>
        <v>-2588.1799999999348</v>
      </c>
    </row>
    <row r="272" spans="1:7" x14ac:dyDescent="0.25">
      <c r="A272" s="11" t="s">
        <v>195</v>
      </c>
      <c r="B272" s="3">
        <f>74325.36+8319.19+961660.01+1016.95</f>
        <v>1045321.51</v>
      </c>
      <c r="C272" s="3">
        <f>72999.93+8319.19+961660.01+1016.95</f>
        <v>1043996.08</v>
      </c>
      <c r="D272" s="3">
        <v>1075457.08</v>
      </c>
      <c r="E272" s="3">
        <f t="shared" si="14"/>
        <v>-30135.570000000065</v>
      </c>
      <c r="F272" s="3">
        <f t="shared" si="12"/>
        <v>-31461.000000000116</v>
      </c>
      <c r="G272" s="3">
        <f t="shared" si="13"/>
        <v>1325.4300000000512</v>
      </c>
    </row>
    <row r="273" spans="1:7" x14ac:dyDescent="0.25">
      <c r="A273" s="11" t="s">
        <v>310</v>
      </c>
      <c r="B273" s="3">
        <f>130660.18+37973.01</f>
        <v>168633.19</v>
      </c>
      <c r="C273" s="3">
        <f>127708.18+37973.01</f>
        <v>165681.19</v>
      </c>
      <c r="D273" s="3">
        <v>135855.82</v>
      </c>
      <c r="E273" s="3">
        <f t="shared" si="14"/>
        <v>32777.369999999995</v>
      </c>
      <c r="F273" s="3">
        <f t="shared" si="12"/>
        <v>29825.369999999995</v>
      </c>
      <c r="G273" s="3">
        <f t="shared" si="13"/>
        <v>2952</v>
      </c>
    </row>
    <row r="274" spans="1:7" x14ac:dyDescent="0.25">
      <c r="A274" s="11" t="s">
        <v>311</v>
      </c>
      <c r="B274" s="3">
        <f>95403.98+29067.01</f>
        <v>124470.98999999999</v>
      </c>
      <c r="C274" s="3">
        <f>99025.99+29067.01</f>
        <v>128093</v>
      </c>
      <c r="D274" s="3">
        <v>155430.22</v>
      </c>
      <c r="E274" s="3">
        <f t="shared" si="14"/>
        <v>-30959.23000000001</v>
      </c>
      <c r="F274" s="3">
        <f t="shared" si="12"/>
        <v>-27337.22</v>
      </c>
      <c r="G274" s="3">
        <f t="shared" si="13"/>
        <v>-3622.0100000000093</v>
      </c>
    </row>
    <row r="275" spans="1:7" x14ac:dyDescent="0.25">
      <c r="A275" s="11" t="s">
        <v>196</v>
      </c>
      <c r="B275" s="3">
        <f>151172.51+7691.17</f>
        <v>158863.68000000002</v>
      </c>
      <c r="C275" s="3">
        <f>194827.44+7691.17</f>
        <v>202518.61000000002</v>
      </c>
      <c r="D275" s="3">
        <v>126394.85</v>
      </c>
      <c r="E275" s="3">
        <f t="shared" si="14"/>
        <v>32468.830000000016</v>
      </c>
      <c r="F275" s="3">
        <f t="shared" si="12"/>
        <v>76123.760000000009</v>
      </c>
      <c r="G275" s="3">
        <f t="shared" si="13"/>
        <v>-43654.929999999993</v>
      </c>
    </row>
    <row r="276" spans="1:7" x14ac:dyDescent="0.25">
      <c r="A276" s="11" t="s">
        <v>197</v>
      </c>
      <c r="B276" s="3">
        <f>325540.51+72302.81+1016.95</f>
        <v>398860.27</v>
      </c>
      <c r="C276" s="3">
        <f>316833.06+72302.81+1016.95</f>
        <v>390152.82</v>
      </c>
      <c r="D276" s="3">
        <v>332721.68</v>
      </c>
      <c r="E276" s="3">
        <f t="shared" si="14"/>
        <v>66138.590000000026</v>
      </c>
      <c r="F276" s="3">
        <f t="shared" si="12"/>
        <v>57431.140000000014</v>
      </c>
      <c r="G276" s="3">
        <f t="shared" si="13"/>
        <v>8707.4500000000116</v>
      </c>
    </row>
    <row r="277" spans="1:7" x14ac:dyDescent="0.25">
      <c r="A277" s="11" t="s">
        <v>198</v>
      </c>
      <c r="B277" s="3">
        <f>302713.96+59378.2+1016.95</f>
        <v>363109.11000000004</v>
      </c>
      <c r="C277" s="3">
        <f>287132.31+59378.2+1016.95</f>
        <v>347527.46</v>
      </c>
      <c r="D277" s="3">
        <v>337540.7</v>
      </c>
      <c r="E277" s="3">
        <f t="shared" si="14"/>
        <v>25568.410000000033</v>
      </c>
      <c r="F277" s="3">
        <f t="shared" si="12"/>
        <v>9986.7600000000093</v>
      </c>
      <c r="G277" s="3">
        <f t="shared" si="13"/>
        <v>15581.650000000023</v>
      </c>
    </row>
    <row r="278" spans="1:7" x14ac:dyDescent="0.25">
      <c r="A278" s="11" t="s">
        <v>199</v>
      </c>
      <c r="B278" s="3">
        <f>126983.57+24763.73</f>
        <v>151747.30000000002</v>
      </c>
      <c r="C278" s="3">
        <f>127629.32+24763.73</f>
        <v>152393.05000000002</v>
      </c>
      <c r="D278" s="3">
        <v>136409.4</v>
      </c>
      <c r="E278" s="3">
        <f>F278+G278</f>
        <v>15337.900000000023</v>
      </c>
      <c r="F278" s="3">
        <f t="shared" si="12"/>
        <v>15983.650000000023</v>
      </c>
      <c r="G278" s="3">
        <f t="shared" si="13"/>
        <v>-645.75</v>
      </c>
    </row>
    <row r="279" spans="1:7" x14ac:dyDescent="0.25">
      <c r="A279" s="11" t="s">
        <v>312</v>
      </c>
      <c r="B279" s="3">
        <f>345116.04+60638.18</f>
        <v>405754.22</v>
      </c>
      <c r="C279" s="3">
        <f>330903.48+60638.18</f>
        <v>391541.66</v>
      </c>
      <c r="D279" s="3">
        <v>393276.86</v>
      </c>
      <c r="E279" s="3">
        <f t="shared" ref="E279:E328" si="15">F279+G279</f>
        <v>12477.359999999986</v>
      </c>
      <c r="F279" s="3">
        <f t="shared" si="12"/>
        <v>-1735.2000000000116</v>
      </c>
      <c r="G279" s="3">
        <f t="shared" si="13"/>
        <v>14212.559999999998</v>
      </c>
    </row>
    <row r="280" spans="1:7" x14ac:dyDescent="0.25">
      <c r="A280" s="11" t="s">
        <v>200</v>
      </c>
      <c r="B280" s="3">
        <f>282063.78+28460.23+1558187.55</f>
        <v>1868711.56</v>
      </c>
      <c r="C280" s="3">
        <f>264761.67+28460.23+1558187.55</f>
        <v>1851409.45</v>
      </c>
      <c r="D280" s="3">
        <v>1951771.91</v>
      </c>
      <c r="E280" s="3">
        <f t="shared" si="15"/>
        <v>-83060.34999999986</v>
      </c>
      <c r="F280" s="3">
        <f t="shared" si="12"/>
        <v>-100362.45999999996</v>
      </c>
      <c r="G280" s="3">
        <f t="shared" si="13"/>
        <v>17302.110000000102</v>
      </c>
    </row>
    <row r="281" spans="1:7" x14ac:dyDescent="0.25">
      <c r="A281" s="11" t="s">
        <v>313</v>
      </c>
      <c r="B281" s="3">
        <f>730553.09+72551.73</f>
        <v>803104.82</v>
      </c>
      <c r="C281" s="3">
        <f>705426.37+72551.73</f>
        <v>777978.1</v>
      </c>
      <c r="D281" s="3">
        <v>618166.38</v>
      </c>
      <c r="E281" s="3">
        <f t="shared" si="15"/>
        <v>184938.43999999994</v>
      </c>
      <c r="F281" s="3">
        <f t="shared" si="12"/>
        <v>159811.71999999997</v>
      </c>
      <c r="G281" s="3">
        <f t="shared" si="13"/>
        <v>25126.719999999972</v>
      </c>
    </row>
    <row r="282" spans="1:7" x14ac:dyDescent="0.25">
      <c r="A282" s="11" t="s">
        <v>314</v>
      </c>
      <c r="B282" s="3">
        <f>654861.16+125714.87+10169.49</f>
        <v>790745.52</v>
      </c>
      <c r="C282" s="3">
        <f>652269.61+125714.87+10169.43</f>
        <v>788153.91</v>
      </c>
      <c r="D282" s="3">
        <v>665630.81999999995</v>
      </c>
      <c r="E282" s="3">
        <f t="shared" si="15"/>
        <v>125114.70000000007</v>
      </c>
      <c r="F282" s="3">
        <f t="shared" si="12"/>
        <v>122523.09000000008</v>
      </c>
      <c r="G282" s="3">
        <f t="shared" si="13"/>
        <v>2591.609999999986</v>
      </c>
    </row>
    <row r="283" spans="1:7" x14ac:dyDescent="0.25">
      <c r="A283" s="11" t="s">
        <v>201</v>
      </c>
      <c r="B283" s="3">
        <f>271849.93+32238.28+97912.78</f>
        <v>402000.99</v>
      </c>
      <c r="C283" s="3">
        <f>283967.29+32238.38+97912.78</f>
        <v>414118.44999999995</v>
      </c>
      <c r="D283" s="3">
        <v>262206.13</v>
      </c>
      <c r="E283" s="3">
        <f t="shared" si="15"/>
        <v>139794.85999999999</v>
      </c>
      <c r="F283" s="3">
        <f t="shared" si="12"/>
        <v>151912.31999999995</v>
      </c>
      <c r="G283" s="3">
        <f t="shared" si="13"/>
        <v>-12117.459999999963</v>
      </c>
    </row>
    <row r="284" spans="1:7" x14ac:dyDescent="0.25">
      <c r="A284" s="11" t="s">
        <v>315</v>
      </c>
      <c r="B284" s="3">
        <f>343089.02+47382.82</f>
        <v>390471.84</v>
      </c>
      <c r="C284" s="3">
        <f>337685.78+47382.82</f>
        <v>385068.60000000003</v>
      </c>
      <c r="D284" s="3">
        <v>350048.02</v>
      </c>
      <c r="E284" s="3">
        <f t="shared" si="15"/>
        <v>40423.820000000007</v>
      </c>
      <c r="F284" s="3">
        <f t="shared" si="12"/>
        <v>35020.580000000016</v>
      </c>
      <c r="G284" s="3">
        <f t="shared" si="13"/>
        <v>5403.2399999999907</v>
      </c>
    </row>
    <row r="285" spans="1:7" x14ac:dyDescent="0.25">
      <c r="A285" s="11" t="s">
        <v>202</v>
      </c>
      <c r="B285" s="3">
        <f>693467.47+77533.22+1016.95</f>
        <v>772017.6399999999</v>
      </c>
      <c r="C285" s="3">
        <f>673892.31+77533.22+1016.95</f>
        <v>752442.48</v>
      </c>
      <c r="D285" s="3">
        <v>693588.18</v>
      </c>
      <c r="E285" s="3">
        <f t="shared" si="15"/>
        <v>78429.459999999846</v>
      </c>
      <c r="F285" s="3">
        <f t="shared" si="12"/>
        <v>58854.29999999993</v>
      </c>
      <c r="G285" s="3">
        <f t="shared" si="13"/>
        <v>19575.159999999916</v>
      </c>
    </row>
    <row r="286" spans="1:7" x14ac:dyDescent="0.25">
      <c r="A286" s="11" t="s">
        <v>316</v>
      </c>
      <c r="B286" s="3">
        <f>278296.52+31084.81</f>
        <v>309381.33</v>
      </c>
      <c r="C286" s="3">
        <f>264755.74+31084.81</f>
        <v>295840.55</v>
      </c>
      <c r="D286" s="3">
        <v>225594.46</v>
      </c>
      <c r="E286" s="3">
        <f t="shared" si="15"/>
        <v>83786.870000000024</v>
      </c>
      <c r="F286" s="3">
        <f t="shared" si="12"/>
        <v>70246.09</v>
      </c>
      <c r="G286" s="3">
        <f t="shared" si="13"/>
        <v>13540.780000000028</v>
      </c>
    </row>
    <row r="287" spans="1:7" x14ac:dyDescent="0.25">
      <c r="A287" s="11" t="s">
        <v>203</v>
      </c>
      <c r="B287" s="3">
        <f>34480.75+9278.9</f>
        <v>43759.65</v>
      </c>
      <c r="C287" s="3">
        <f>27623.52+9278.9</f>
        <v>36902.42</v>
      </c>
      <c r="D287" s="3">
        <v>61902.45</v>
      </c>
      <c r="E287" s="3">
        <f t="shared" si="15"/>
        <v>-18142.799999999996</v>
      </c>
      <c r="F287" s="3">
        <f t="shared" si="12"/>
        <v>-25000.03</v>
      </c>
      <c r="G287" s="3">
        <f t="shared" si="13"/>
        <v>6857.2300000000032</v>
      </c>
    </row>
    <row r="288" spans="1:7" x14ac:dyDescent="0.25">
      <c r="A288" s="11" t="s">
        <v>317</v>
      </c>
      <c r="B288" s="3">
        <f>329221.91+33151.16</f>
        <v>362373.06999999995</v>
      </c>
      <c r="C288" s="3">
        <f>303254.25+33151.19</f>
        <v>336405.44</v>
      </c>
      <c r="D288" s="3">
        <v>475545.06</v>
      </c>
      <c r="E288" s="3">
        <f t="shared" si="15"/>
        <v>-113171.99000000005</v>
      </c>
      <c r="F288" s="3">
        <f t="shared" si="12"/>
        <v>-139139.62</v>
      </c>
      <c r="G288" s="3">
        <f t="shared" si="13"/>
        <v>25967.629999999946</v>
      </c>
    </row>
    <row r="289" spans="1:7" x14ac:dyDescent="0.25">
      <c r="A289" s="11" t="s">
        <v>204</v>
      </c>
      <c r="B289" s="3">
        <f>716186.84+101807.42</f>
        <v>817994.26</v>
      </c>
      <c r="C289" s="3">
        <f>689012.73+101807.42</f>
        <v>790820.15</v>
      </c>
      <c r="D289" s="3">
        <v>622010.42000000004</v>
      </c>
      <c r="E289" s="3">
        <f t="shared" si="15"/>
        <v>195983.83999999997</v>
      </c>
      <c r="F289" s="3">
        <f t="shared" si="12"/>
        <v>168809.72999999998</v>
      </c>
      <c r="G289" s="3">
        <f t="shared" si="13"/>
        <v>27174.109999999986</v>
      </c>
    </row>
    <row r="290" spans="1:7" x14ac:dyDescent="0.25">
      <c r="A290" s="11" t="s">
        <v>318</v>
      </c>
      <c r="B290" s="3">
        <f>270951.46+35385.67</f>
        <v>306337.13</v>
      </c>
      <c r="C290" s="3">
        <f>271773.19+35385.67</f>
        <v>307158.86</v>
      </c>
      <c r="D290" s="3">
        <v>303670.53000000003</v>
      </c>
      <c r="E290" s="3">
        <f t="shared" si="15"/>
        <v>2666.5999999999767</v>
      </c>
      <c r="F290" s="3">
        <f t="shared" si="12"/>
        <v>3488.3299999999581</v>
      </c>
      <c r="G290" s="3">
        <f t="shared" si="13"/>
        <v>-821.72999999998137</v>
      </c>
    </row>
    <row r="291" spans="1:7" s="8" customFormat="1" x14ac:dyDescent="0.25">
      <c r="A291" s="12" t="s">
        <v>319</v>
      </c>
      <c r="B291" s="7">
        <f>59232.25+9811.42</f>
        <v>69043.67</v>
      </c>
      <c r="C291" s="7">
        <f>49314.32+9811.42</f>
        <v>59125.74</v>
      </c>
      <c r="D291" s="7">
        <v>71445.53</v>
      </c>
      <c r="E291" s="7">
        <f t="shared" si="15"/>
        <v>-2401.8600000000006</v>
      </c>
      <c r="F291" s="7">
        <f t="shared" si="12"/>
        <v>-12319.79</v>
      </c>
      <c r="G291" s="7">
        <f t="shared" si="13"/>
        <v>9917.93</v>
      </c>
    </row>
    <row r="292" spans="1:7" x14ac:dyDescent="0.25">
      <c r="A292" s="11" t="s">
        <v>205</v>
      </c>
      <c r="B292" s="3">
        <f>58773.97+18546.4</f>
        <v>77320.37</v>
      </c>
      <c r="C292" s="3">
        <f>60536.03+18546.4</f>
        <v>79082.429999999993</v>
      </c>
      <c r="D292" s="3">
        <v>85175.69</v>
      </c>
      <c r="E292" s="3">
        <f t="shared" si="15"/>
        <v>-7855.320000000007</v>
      </c>
      <c r="F292" s="3">
        <f t="shared" si="12"/>
        <v>-6093.2600000000093</v>
      </c>
      <c r="G292" s="3">
        <f t="shared" si="13"/>
        <v>-1762.0599999999977</v>
      </c>
    </row>
    <row r="293" spans="1:7" x14ac:dyDescent="0.25">
      <c r="A293" s="11" t="s">
        <v>206</v>
      </c>
      <c r="B293" s="3">
        <f>58829.1+19879.72+6725.75</f>
        <v>85434.57</v>
      </c>
      <c r="C293" s="3">
        <f>58304.85+19879.72+6725.75</f>
        <v>84910.32</v>
      </c>
      <c r="D293" s="3">
        <v>91156.7</v>
      </c>
      <c r="E293" s="3">
        <f t="shared" si="15"/>
        <v>-5722.1299999999901</v>
      </c>
      <c r="F293" s="3">
        <f t="shared" si="12"/>
        <v>-6246.3799999999901</v>
      </c>
      <c r="G293" s="3">
        <f t="shared" si="13"/>
        <v>524.25</v>
      </c>
    </row>
    <row r="294" spans="1:7" x14ac:dyDescent="0.25">
      <c r="A294" s="11" t="s">
        <v>207</v>
      </c>
      <c r="B294" s="3">
        <f>67664.18+7532.54+1897129.62</f>
        <v>1972326.34</v>
      </c>
      <c r="C294" s="3">
        <f>62543.57+7532.54+1897129.62</f>
        <v>1967205.7300000002</v>
      </c>
      <c r="D294" s="3">
        <v>2074756.69</v>
      </c>
      <c r="E294" s="3">
        <f t="shared" si="15"/>
        <v>-102430.34999999986</v>
      </c>
      <c r="F294" s="3">
        <f t="shared" si="12"/>
        <v>-107550.95999999973</v>
      </c>
      <c r="G294" s="3">
        <f t="shared" si="13"/>
        <v>5120.6099999998696</v>
      </c>
    </row>
    <row r="295" spans="1:7" x14ac:dyDescent="0.25">
      <c r="A295" s="11" t="s">
        <v>208</v>
      </c>
      <c r="B295" s="3">
        <f>72827.46+373.68</f>
        <v>73201.14</v>
      </c>
      <c r="C295" s="3">
        <f>55463.05+373.68</f>
        <v>55836.73</v>
      </c>
      <c r="D295" s="3">
        <v>76977.289999999994</v>
      </c>
      <c r="E295" s="3">
        <f t="shared" si="15"/>
        <v>-3776.1499999999942</v>
      </c>
      <c r="F295" s="3">
        <f t="shared" si="12"/>
        <v>-21140.55999999999</v>
      </c>
      <c r="G295" s="3">
        <f t="shared" si="13"/>
        <v>17364.409999999996</v>
      </c>
    </row>
    <row r="296" spans="1:7" x14ac:dyDescent="0.25">
      <c r="A296" s="11" t="s">
        <v>209</v>
      </c>
      <c r="B296" s="3">
        <f>64988.81+9139.51+1016.95</f>
        <v>75145.26999999999</v>
      </c>
      <c r="C296" s="3">
        <f>59211.62+9139.51+1016.95</f>
        <v>69368.08</v>
      </c>
      <c r="D296" s="3">
        <v>115267.99</v>
      </c>
      <c r="E296" s="3">
        <f t="shared" si="15"/>
        <v>-40122.720000000016</v>
      </c>
      <c r="F296" s="3">
        <f t="shared" si="12"/>
        <v>-45899.91</v>
      </c>
      <c r="G296" s="3">
        <f t="shared" si="13"/>
        <v>5777.1899999999878</v>
      </c>
    </row>
    <row r="297" spans="1:7" x14ac:dyDescent="0.25">
      <c r="A297" s="11" t="s">
        <v>210</v>
      </c>
      <c r="B297" s="3">
        <f>59523.14+15702.24</f>
        <v>75225.38</v>
      </c>
      <c r="C297" s="3">
        <f>59353+15702.24</f>
        <v>75055.240000000005</v>
      </c>
      <c r="D297" s="3">
        <v>108544.36</v>
      </c>
      <c r="E297" s="3">
        <f t="shared" si="15"/>
        <v>-33318.979999999996</v>
      </c>
      <c r="F297" s="3">
        <f t="shared" si="12"/>
        <v>-33489.119999999995</v>
      </c>
      <c r="G297" s="3">
        <f t="shared" si="13"/>
        <v>170.13999999999942</v>
      </c>
    </row>
    <row r="298" spans="1:7" x14ac:dyDescent="0.25">
      <c r="A298" s="11" t="s">
        <v>211</v>
      </c>
      <c r="B298" s="3">
        <f>59635.32+14100.26+1016.95</f>
        <v>74752.53</v>
      </c>
      <c r="C298" s="3">
        <f>52166.49+14100.26+1016.95</f>
        <v>67283.7</v>
      </c>
      <c r="D298" s="3">
        <v>125265.61</v>
      </c>
      <c r="E298" s="3">
        <f t="shared" si="15"/>
        <v>-50513.08</v>
      </c>
      <c r="F298" s="3">
        <f t="shared" si="12"/>
        <v>-57981.91</v>
      </c>
      <c r="G298" s="3">
        <f t="shared" si="13"/>
        <v>7468.8300000000017</v>
      </c>
    </row>
    <row r="299" spans="1:7" x14ac:dyDescent="0.25">
      <c r="A299" s="11" t="s">
        <v>212</v>
      </c>
      <c r="B299" s="3">
        <f>88896.15+17811.86</f>
        <v>106708.01</v>
      </c>
      <c r="C299" s="3">
        <f>89292.75+17811.86</f>
        <v>107104.61</v>
      </c>
      <c r="D299" s="3">
        <v>184459.11</v>
      </c>
      <c r="E299" s="3">
        <f t="shared" si="15"/>
        <v>-77751.099999999991</v>
      </c>
      <c r="F299" s="3">
        <f t="shared" si="12"/>
        <v>-77354.499999999985</v>
      </c>
      <c r="G299" s="3">
        <f t="shared" si="13"/>
        <v>-396.60000000000582</v>
      </c>
    </row>
    <row r="300" spans="1:7" x14ac:dyDescent="0.25">
      <c r="A300" s="11" t="s">
        <v>213</v>
      </c>
      <c r="B300" s="3">
        <f>61375.01+16660.83</f>
        <v>78035.839999999997</v>
      </c>
      <c r="C300" s="3">
        <f>60705.73+16660.83</f>
        <v>77366.559999999998</v>
      </c>
      <c r="D300" s="3">
        <v>75710.210000000006</v>
      </c>
      <c r="E300" s="3">
        <f t="shared" si="15"/>
        <v>2325.6299999999901</v>
      </c>
      <c r="F300" s="3">
        <f t="shared" si="12"/>
        <v>1656.3499999999913</v>
      </c>
      <c r="G300" s="3">
        <f t="shared" si="13"/>
        <v>669.27999999999884</v>
      </c>
    </row>
    <row r="301" spans="1:7" x14ac:dyDescent="0.25">
      <c r="A301" s="11" t="s">
        <v>214</v>
      </c>
      <c r="B301" s="3">
        <f>590859.77+108963.79+48652.36</f>
        <v>748475.92</v>
      </c>
      <c r="C301" s="3">
        <f>596487.05+108963.79+48652.36</f>
        <v>754103.20000000007</v>
      </c>
      <c r="D301" s="3">
        <v>620715.06999999995</v>
      </c>
      <c r="E301" s="3">
        <f t="shared" si="15"/>
        <v>127760.85000000009</v>
      </c>
      <c r="F301" s="3">
        <f t="shared" si="12"/>
        <v>133388.13000000012</v>
      </c>
      <c r="G301" s="3">
        <f t="shared" si="13"/>
        <v>-5627.2800000000279</v>
      </c>
    </row>
    <row r="302" spans="1:7" x14ac:dyDescent="0.25">
      <c r="A302" s="11" t="s">
        <v>320</v>
      </c>
      <c r="B302" s="3">
        <f>98182.44+6459.62</f>
        <v>104642.06</v>
      </c>
      <c r="C302" s="3">
        <f>92139.21+6459.62</f>
        <v>98598.83</v>
      </c>
      <c r="D302" s="3">
        <v>129222.85</v>
      </c>
      <c r="E302" s="3">
        <f t="shared" si="15"/>
        <v>-24580.790000000008</v>
      </c>
      <c r="F302" s="3">
        <f t="shared" si="12"/>
        <v>-30624.020000000004</v>
      </c>
      <c r="G302" s="3">
        <f t="shared" si="13"/>
        <v>6043.2299999999959</v>
      </c>
    </row>
    <row r="303" spans="1:7" x14ac:dyDescent="0.25">
      <c r="A303" s="11" t="s">
        <v>321</v>
      </c>
      <c r="B303" s="3">
        <f>93945.21+13218.37</f>
        <v>107163.58</v>
      </c>
      <c r="C303" s="3">
        <f>95020.87+13218.37</f>
        <v>108239.23999999999</v>
      </c>
      <c r="D303" s="3">
        <v>105255.57</v>
      </c>
      <c r="E303" s="3">
        <f t="shared" si="15"/>
        <v>1908.0099999999948</v>
      </c>
      <c r="F303" s="3">
        <f t="shared" si="12"/>
        <v>2983.6699999999837</v>
      </c>
      <c r="G303" s="3">
        <f t="shared" si="13"/>
        <v>-1075.6599999999889</v>
      </c>
    </row>
    <row r="304" spans="1:7" x14ac:dyDescent="0.25">
      <c r="A304" s="11" t="s">
        <v>322</v>
      </c>
      <c r="B304" s="3">
        <f>88824.1+17377.46+1016.95</f>
        <v>107218.51</v>
      </c>
      <c r="C304" s="3">
        <f>85888.24+17377.46+1016.95</f>
        <v>104282.65000000001</v>
      </c>
      <c r="D304" s="3">
        <v>89764.88</v>
      </c>
      <c r="E304" s="3">
        <f t="shared" si="15"/>
        <v>17453.62999999999</v>
      </c>
      <c r="F304" s="3">
        <f t="shared" si="12"/>
        <v>14517.770000000004</v>
      </c>
      <c r="G304" s="3">
        <f t="shared" si="13"/>
        <v>2935.859999999986</v>
      </c>
    </row>
    <row r="305" spans="1:7" x14ac:dyDescent="0.25">
      <c r="A305" s="11" t="s">
        <v>215</v>
      </c>
      <c r="B305" s="3">
        <f>169643.51+24228.04+5753.42</f>
        <v>199624.97000000003</v>
      </c>
      <c r="C305" s="3">
        <f>169284.13+24228.04+5753.42</f>
        <v>199265.59000000003</v>
      </c>
      <c r="D305" s="3">
        <v>208827.34</v>
      </c>
      <c r="E305" s="3">
        <f t="shared" si="15"/>
        <v>-9202.3699999999662</v>
      </c>
      <c r="F305" s="3">
        <f t="shared" si="12"/>
        <v>-9561.7499999999709</v>
      </c>
      <c r="G305" s="3">
        <f t="shared" si="13"/>
        <v>359.38000000000466</v>
      </c>
    </row>
    <row r="306" spans="1:7" x14ac:dyDescent="0.25">
      <c r="A306" s="11" t="s">
        <v>216</v>
      </c>
      <c r="B306" s="3">
        <f>171644.48+35193.45+5447.36</f>
        <v>212285.28999999998</v>
      </c>
      <c r="C306" s="3">
        <f>166842.53+35193.45+5447.36</f>
        <v>207483.33999999997</v>
      </c>
      <c r="D306" s="3">
        <v>250567.22</v>
      </c>
      <c r="E306" s="3">
        <f t="shared" si="15"/>
        <v>-38281.930000000022</v>
      </c>
      <c r="F306" s="3">
        <f t="shared" si="12"/>
        <v>-43083.880000000034</v>
      </c>
      <c r="G306" s="3">
        <f t="shared" si="13"/>
        <v>4801.9500000000116</v>
      </c>
    </row>
    <row r="307" spans="1:7" x14ac:dyDescent="0.25">
      <c r="A307" s="11" t="s">
        <v>217</v>
      </c>
      <c r="B307" s="3">
        <f>219534.2+35581.49+11035.14</f>
        <v>266150.83</v>
      </c>
      <c r="C307" s="3">
        <f>208703.42+35581.49+11035.14</f>
        <v>255320.05</v>
      </c>
      <c r="D307" s="3">
        <v>369035</v>
      </c>
      <c r="E307" s="3">
        <f t="shared" si="15"/>
        <v>-102884.16999999998</v>
      </c>
      <c r="F307" s="3">
        <f t="shared" ref="F307:F333" si="16">C307-D307</f>
        <v>-113714.95000000001</v>
      </c>
      <c r="G307" s="3">
        <f t="shared" si="13"/>
        <v>10830.780000000028</v>
      </c>
    </row>
    <row r="308" spans="1:7" x14ac:dyDescent="0.25">
      <c r="A308" s="11" t="s">
        <v>218</v>
      </c>
      <c r="B308" s="3">
        <f>255972.78+35522.34+7532.46</f>
        <v>299027.58</v>
      </c>
      <c r="C308" s="3">
        <f>203994.05+35522.34+7532.46</f>
        <v>247048.84999999998</v>
      </c>
      <c r="D308" s="3">
        <v>203994.05</v>
      </c>
      <c r="E308" s="3">
        <f t="shared" si="15"/>
        <v>95033.530000000028</v>
      </c>
      <c r="F308" s="3">
        <f t="shared" si="16"/>
        <v>43054.799999999988</v>
      </c>
      <c r="G308" s="3">
        <f t="shared" si="13"/>
        <v>51978.73000000004</v>
      </c>
    </row>
    <row r="309" spans="1:7" x14ac:dyDescent="0.25">
      <c r="A309" s="11" t="s">
        <v>219</v>
      </c>
      <c r="B309" s="3">
        <f>335425.23+57575.85+25323.38+222088.52</f>
        <v>640412.98</v>
      </c>
      <c r="C309" s="3">
        <f>340127.47+57575.85+222088.522532338</f>
        <v>619791.84253233788</v>
      </c>
      <c r="D309" s="3">
        <v>481813.43</v>
      </c>
      <c r="E309" s="3">
        <f t="shared" si="15"/>
        <v>158599.54999999999</v>
      </c>
      <c r="F309" s="3">
        <f t="shared" si="16"/>
        <v>137978.41253233788</v>
      </c>
      <c r="G309" s="3">
        <f t="shared" si="13"/>
        <v>20621.137467662105</v>
      </c>
    </row>
    <row r="310" spans="1:7" x14ac:dyDescent="0.25">
      <c r="A310" s="11" t="s">
        <v>220</v>
      </c>
      <c r="B310" s="3">
        <f>85507.19+35256.15+5789.01</f>
        <v>126552.34999999999</v>
      </c>
      <c r="C310" s="3">
        <f>91371.24+35256.15+5789.01</f>
        <v>132416.40000000002</v>
      </c>
      <c r="D310" s="3">
        <v>173791.79</v>
      </c>
      <c r="E310" s="3">
        <f t="shared" si="15"/>
        <v>-47239.440000000017</v>
      </c>
      <c r="F310" s="3">
        <f t="shared" si="16"/>
        <v>-41375.389999999985</v>
      </c>
      <c r="G310" s="3">
        <f t="shared" si="13"/>
        <v>-5864.050000000032</v>
      </c>
    </row>
    <row r="311" spans="1:7" x14ac:dyDescent="0.25">
      <c r="A311" s="11" t="s">
        <v>221</v>
      </c>
      <c r="B311" s="3">
        <f>208199.1+2913.19+42897.35</f>
        <v>254009.64</v>
      </c>
      <c r="C311" s="3">
        <f>196127.12+2913.19+42897.35</f>
        <v>241937.66</v>
      </c>
      <c r="D311" s="3">
        <v>271341.53999999998</v>
      </c>
      <c r="E311" s="3">
        <f t="shared" si="15"/>
        <v>-17331.899999999965</v>
      </c>
      <c r="F311" s="3">
        <f t="shared" si="16"/>
        <v>-29403.879999999976</v>
      </c>
      <c r="G311" s="3">
        <f t="shared" si="13"/>
        <v>12071.98000000001</v>
      </c>
    </row>
    <row r="312" spans="1:7" x14ac:dyDescent="0.25">
      <c r="A312" s="11" t="s">
        <v>222</v>
      </c>
      <c r="B312" s="3">
        <f>109192.09+30546.76+1473911.04</f>
        <v>1613649.8900000001</v>
      </c>
      <c r="C312" s="3">
        <f>102331.09+30546.76+1473911.04</f>
        <v>1606788.8900000001</v>
      </c>
      <c r="D312" s="3">
        <v>1666327.43</v>
      </c>
      <c r="E312" s="3">
        <f t="shared" si="15"/>
        <v>-52677.539999999804</v>
      </c>
      <c r="F312" s="3">
        <f t="shared" si="16"/>
        <v>-59538.539999999804</v>
      </c>
      <c r="G312" s="3">
        <f t="shared" si="13"/>
        <v>6861</v>
      </c>
    </row>
    <row r="313" spans="1:7" x14ac:dyDescent="0.25">
      <c r="A313" s="11" t="s">
        <v>323</v>
      </c>
      <c r="B313" s="3">
        <f>73047.53+14520.66</f>
        <v>87568.19</v>
      </c>
      <c r="C313" s="3">
        <f>69439.87+14520.66</f>
        <v>83960.53</v>
      </c>
      <c r="D313" s="3">
        <v>75269.88</v>
      </c>
      <c r="E313" s="3">
        <f t="shared" si="15"/>
        <v>12298.309999999998</v>
      </c>
      <c r="F313" s="3">
        <f t="shared" si="16"/>
        <v>8690.6499999999942</v>
      </c>
      <c r="G313" s="3">
        <f t="shared" si="13"/>
        <v>3607.6600000000035</v>
      </c>
    </row>
    <row r="314" spans="1:7" x14ac:dyDescent="0.25">
      <c r="A314" s="11" t="s">
        <v>223</v>
      </c>
      <c r="B314" s="3">
        <f>112140.5+28357.15+1016.95</f>
        <v>141514.6</v>
      </c>
      <c r="C314" s="3">
        <f>110220.14+28357.15+1016.95</f>
        <v>139594.24000000002</v>
      </c>
      <c r="D314" s="3">
        <v>130321.39</v>
      </c>
      <c r="E314" s="3">
        <f t="shared" si="15"/>
        <v>11193.210000000006</v>
      </c>
      <c r="F314" s="3">
        <f t="shared" si="16"/>
        <v>9272.8500000000204</v>
      </c>
      <c r="G314" s="3">
        <f t="shared" si="13"/>
        <v>1920.359999999986</v>
      </c>
    </row>
    <row r="315" spans="1:7" x14ac:dyDescent="0.25">
      <c r="A315" s="11" t="s">
        <v>324</v>
      </c>
      <c r="B315" s="3">
        <f>108127.06+33774.36</f>
        <v>141901.41999999998</v>
      </c>
      <c r="C315" s="3">
        <f>111281.9+33774.36</f>
        <v>145056.26</v>
      </c>
      <c r="D315" s="3">
        <v>107719.63</v>
      </c>
      <c r="E315" s="3">
        <f t="shared" si="15"/>
        <v>34181.789999999979</v>
      </c>
      <c r="F315" s="3">
        <f t="shared" si="16"/>
        <v>37336.630000000005</v>
      </c>
      <c r="G315" s="3">
        <f t="shared" si="13"/>
        <v>-3154.8400000000256</v>
      </c>
    </row>
    <row r="316" spans="1:7" x14ac:dyDescent="0.25">
      <c r="A316" s="11" t="s">
        <v>224</v>
      </c>
      <c r="B316" s="3">
        <f>71833.91+17503.51</f>
        <v>89337.42</v>
      </c>
      <c r="C316" s="3">
        <f>69396.51+17503.51</f>
        <v>86900.01999999999</v>
      </c>
      <c r="D316" s="3">
        <v>118797.48</v>
      </c>
      <c r="E316" s="3">
        <f t="shared" si="15"/>
        <v>-29460.059999999998</v>
      </c>
      <c r="F316" s="3">
        <f t="shared" si="16"/>
        <v>-31897.460000000006</v>
      </c>
      <c r="G316" s="3">
        <f t="shared" si="13"/>
        <v>2437.4000000000087</v>
      </c>
    </row>
    <row r="317" spans="1:7" x14ac:dyDescent="0.25">
      <c r="A317" s="11" t="s">
        <v>325</v>
      </c>
      <c r="B317" s="3">
        <f>57268.32+29085.81</f>
        <v>86354.13</v>
      </c>
      <c r="C317" s="3">
        <f>57441.97+29085.81</f>
        <v>86527.78</v>
      </c>
      <c r="D317" s="3">
        <v>108543.6</v>
      </c>
      <c r="E317" s="3">
        <f t="shared" si="15"/>
        <v>-22189.47</v>
      </c>
      <c r="F317" s="3">
        <f t="shared" si="16"/>
        <v>-22015.820000000007</v>
      </c>
      <c r="G317" s="3">
        <f t="shared" si="13"/>
        <v>-173.64999999999418</v>
      </c>
    </row>
    <row r="318" spans="1:7" x14ac:dyDescent="0.25">
      <c r="A318" s="11" t="s">
        <v>225</v>
      </c>
      <c r="B318" s="3">
        <f>85619.63+8438.73+1016.95</f>
        <v>95075.31</v>
      </c>
      <c r="C318" s="3">
        <f>85338.32+8438.73+1016.95</f>
        <v>94794</v>
      </c>
      <c r="D318" s="3">
        <v>70321.67</v>
      </c>
      <c r="E318" s="3">
        <f t="shared" si="15"/>
        <v>24753.64</v>
      </c>
      <c r="F318" s="3">
        <f t="shared" si="16"/>
        <v>24472.33</v>
      </c>
      <c r="G318" s="3">
        <f t="shared" si="13"/>
        <v>281.30999999999767</v>
      </c>
    </row>
    <row r="319" spans="1:7" x14ac:dyDescent="0.25">
      <c r="A319" s="11" t="s">
        <v>326</v>
      </c>
      <c r="B319" s="3">
        <f>55239.52+11481.07+14974.96</f>
        <v>81695.549999999988</v>
      </c>
      <c r="C319" s="3">
        <f>56258.29+11481.07+14974.96</f>
        <v>82714.320000000007</v>
      </c>
      <c r="D319" s="3">
        <v>61696.87</v>
      </c>
      <c r="E319" s="3">
        <f t="shared" si="15"/>
        <v>19998.679999999986</v>
      </c>
      <c r="F319" s="3">
        <f t="shared" si="16"/>
        <v>21017.450000000004</v>
      </c>
      <c r="G319" s="3">
        <f t="shared" si="13"/>
        <v>-1018.7700000000186</v>
      </c>
    </row>
    <row r="320" spans="1:7" x14ac:dyDescent="0.25">
      <c r="A320" s="11" t="s">
        <v>226</v>
      </c>
      <c r="B320" s="3">
        <f>429756.03+78719.48+154096.6+1016.95</f>
        <v>663589.05999999994</v>
      </c>
      <c r="C320" s="3">
        <f>416426.68+78719.48+154096.6+1016.95</f>
        <v>650259.71</v>
      </c>
      <c r="D320" s="3">
        <v>1460888.92</v>
      </c>
      <c r="E320" s="3">
        <f t="shared" si="15"/>
        <v>-797299.86</v>
      </c>
      <c r="F320" s="3">
        <f t="shared" si="16"/>
        <v>-810629.21</v>
      </c>
      <c r="G320" s="3">
        <f t="shared" si="13"/>
        <v>13329.349999999977</v>
      </c>
    </row>
    <row r="321" spans="1:7" x14ac:dyDescent="0.25">
      <c r="A321" s="11" t="s">
        <v>327</v>
      </c>
      <c r="B321" s="3">
        <f>231020.42+25235+70879.22</f>
        <v>327134.64</v>
      </c>
      <c r="C321" s="3">
        <f>224930.74+25235+70879.22</f>
        <v>321044.95999999996</v>
      </c>
      <c r="D321" s="3">
        <v>805041.49</v>
      </c>
      <c r="E321" s="3">
        <f t="shared" si="15"/>
        <v>-477906.85</v>
      </c>
      <c r="F321" s="3">
        <f t="shared" si="16"/>
        <v>-483996.53</v>
      </c>
      <c r="G321" s="3">
        <f t="shared" si="13"/>
        <v>6089.6800000000512</v>
      </c>
    </row>
    <row r="322" spans="1:7" x14ac:dyDescent="0.25">
      <c r="A322" s="11" t="s">
        <v>227</v>
      </c>
      <c r="B322" s="3">
        <f>127063.5+13003.9+1016.95</f>
        <v>141084.35</v>
      </c>
      <c r="C322" s="3">
        <f>117219.12+13003.9+1016.95</f>
        <v>131239.97</v>
      </c>
      <c r="D322" s="3">
        <v>128455.28</v>
      </c>
      <c r="E322" s="3">
        <f t="shared" si="15"/>
        <v>12629.070000000007</v>
      </c>
      <c r="F322" s="3">
        <f t="shared" si="16"/>
        <v>2784.6900000000023</v>
      </c>
      <c r="G322" s="3">
        <f t="shared" si="13"/>
        <v>9844.3800000000047</v>
      </c>
    </row>
    <row r="323" spans="1:7" x14ac:dyDescent="0.25">
      <c r="A323" s="11" t="s">
        <v>328</v>
      </c>
      <c r="B323" s="3">
        <f>549663.21+71319.12+1284025.02</f>
        <v>1905007.35</v>
      </c>
      <c r="C323" s="3">
        <f>501602.39+71319.12+1284025.02</f>
        <v>1856946.53</v>
      </c>
      <c r="D323" s="3">
        <v>1752580.95</v>
      </c>
      <c r="E323" s="3">
        <f t="shared" si="15"/>
        <v>152426.40000000014</v>
      </c>
      <c r="F323" s="3">
        <f t="shared" si="16"/>
        <v>104365.58000000007</v>
      </c>
      <c r="G323" s="3">
        <f t="shared" si="13"/>
        <v>48060.820000000065</v>
      </c>
    </row>
    <row r="324" spans="1:7" x14ac:dyDescent="0.25">
      <c r="A324" s="11" t="s">
        <v>330</v>
      </c>
      <c r="B324" s="3">
        <f>276157.13+9784.47+8102.58</f>
        <v>294044.18</v>
      </c>
      <c r="C324" s="3">
        <f>264057.63+9784.47+8102.58</f>
        <v>281944.68</v>
      </c>
      <c r="D324" s="3">
        <v>312840.56</v>
      </c>
      <c r="E324" s="3">
        <f t="shared" si="15"/>
        <v>-18796.380000000005</v>
      </c>
      <c r="F324" s="3">
        <f t="shared" si="16"/>
        <v>-30895.880000000005</v>
      </c>
      <c r="G324" s="3">
        <f t="shared" si="13"/>
        <v>12099.5</v>
      </c>
    </row>
    <row r="325" spans="1:7" x14ac:dyDescent="0.25">
      <c r="A325" s="11" t="s">
        <v>329</v>
      </c>
      <c r="B325" s="3">
        <f>111044.02+14912.01</f>
        <v>125956.03</v>
      </c>
      <c r="C325" s="3">
        <f>109990.22+14912.01</f>
        <v>124902.23</v>
      </c>
      <c r="D325" s="3">
        <v>167144.41</v>
      </c>
      <c r="E325" s="3">
        <f t="shared" si="15"/>
        <v>-41188.380000000005</v>
      </c>
      <c r="F325" s="3">
        <f t="shared" si="16"/>
        <v>-42242.180000000008</v>
      </c>
      <c r="G325" s="3">
        <f t="shared" si="13"/>
        <v>1053.8000000000029</v>
      </c>
    </row>
    <row r="326" spans="1:7" x14ac:dyDescent="0.25">
      <c r="A326" s="11" t="s">
        <v>228</v>
      </c>
      <c r="B326" s="3">
        <f>243252.58+57647.56</f>
        <v>300900.14</v>
      </c>
      <c r="C326" s="3">
        <f>244303.57+57647.56</f>
        <v>301951.13</v>
      </c>
      <c r="D326" s="3">
        <v>242164.36</v>
      </c>
      <c r="E326" s="3">
        <f t="shared" si="15"/>
        <v>58735.780000000028</v>
      </c>
      <c r="F326" s="3">
        <f t="shared" si="16"/>
        <v>59786.770000000019</v>
      </c>
      <c r="G326" s="3">
        <f t="shared" ref="G326:G333" si="17">B326-C326</f>
        <v>-1050.9899999999907</v>
      </c>
    </row>
    <row r="327" spans="1:7" x14ac:dyDescent="0.25">
      <c r="A327" s="11" t="s">
        <v>229</v>
      </c>
      <c r="B327" s="3">
        <f>252105.97+51190.65</f>
        <v>303296.62</v>
      </c>
      <c r="C327" s="3">
        <f>237496.66+51190.65</f>
        <v>288687.31</v>
      </c>
      <c r="D327" s="3">
        <v>231439.79</v>
      </c>
      <c r="E327" s="3">
        <f t="shared" si="15"/>
        <v>71856.829999999987</v>
      </c>
      <c r="F327" s="3">
        <f t="shared" si="16"/>
        <v>57247.51999999999</v>
      </c>
      <c r="G327" s="3">
        <f t="shared" si="17"/>
        <v>14609.309999999998</v>
      </c>
    </row>
    <row r="328" spans="1:7" x14ac:dyDescent="0.25">
      <c r="A328" s="11" t="s">
        <v>230</v>
      </c>
      <c r="B328" s="3">
        <f>246598.07+54836.31</f>
        <v>301434.38</v>
      </c>
      <c r="C328" s="3">
        <f>238308.13+54836.31</f>
        <v>293144.44</v>
      </c>
      <c r="D328" s="3">
        <v>222307.98</v>
      </c>
      <c r="E328" s="3">
        <f t="shared" si="15"/>
        <v>79126.399999999994</v>
      </c>
      <c r="F328" s="3">
        <f t="shared" si="16"/>
        <v>70836.459999999992</v>
      </c>
      <c r="G328" s="3">
        <f t="shared" si="17"/>
        <v>8289.9400000000023</v>
      </c>
    </row>
    <row r="329" spans="1:7" x14ac:dyDescent="0.25">
      <c r="A329" s="11" t="s">
        <v>231</v>
      </c>
      <c r="B329" s="3">
        <f>117001.38+23463.75+1121262.34+6972.2</f>
        <v>1268699.6700000002</v>
      </c>
      <c r="C329" s="3">
        <f>105367.28+23463.75+1121262.34+6972.2</f>
        <v>1257065.57</v>
      </c>
      <c r="D329" s="3">
        <v>1281364.5900000001</v>
      </c>
      <c r="E329" s="3">
        <f>F329+G329</f>
        <v>-12664.919999999925</v>
      </c>
      <c r="F329" s="3">
        <f t="shared" si="16"/>
        <v>-24299.020000000019</v>
      </c>
      <c r="G329" s="3">
        <f t="shared" si="17"/>
        <v>11634.100000000093</v>
      </c>
    </row>
    <row r="330" spans="1:7" x14ac:dyDescent="0.25">
      <c r="A330" s="11" t="s">
        <v>232</v>
      </c>
      <c r="B330" s="3">
        <f>121962.24+5516.83</f>
        <v>127479.07</v>
      </c>
      <c r="C330" s="3">
        <f>112340.93+5516.83</f>
        <v>117857.76</v>
      </c>
      <c r="D330" s="3">
        <v>304633.98</v>
      </c>
      <c r="E330" s="3">
        <f t="shared" ref="E330:E333" si="18">F330+G330</f>
        <v>-177154.90999999997</v>
      </c>
      <c r="F330" s="3">
        <f t="shared" si="16"/>
        <v>-186776.21999999997</v>
      </c>
      <c r="G330" s="3">
        <f t="shared" si="17"/>
        <v>9621.3100000000122</v>
      </c>
    </row>
    <row r="331" spans="1:7" x14ac:dyDescent="0.25">
      <c r="A331" s="11" t="s">
        <v>233</v>
      </c>
      <c r="B331" s="3">
        <f>122263.98+27466.46+1016.95</f>
        <v>150747.39000000001</v>
      </c>
      <c r="C331" s="3">
        <f>130537.48+27466.46+1016.95</f>
        <v>159020.89000000001</v>
      </c>
      <c r="D331" s="3">
        <v>90418.14</v>
      </c>
      <c r="E331" s="3">
        <f t="shared" si="18"/>
        <v>60329.250000000015</v>
      </c>
      <c r="F331" s="3">
        <f t="shared" si="16"/>
        <v>68602.750000000015</v>
      </c>
      <c r="G331" s="3">
        <f t="shared" si="17"/>
        <v>-8273.5</v>
      </c>
    </row>
    <row r="332" spans="1:7" x14ac:dyDescent="0.25">
      <c r="A332" s="11" t="s">
        <v>234</v>
      </c>
      <c r="B332" s="3">
        <f>152228.47+48017.42+11673.51</f>
        <v>211919.40000000002</v>
      </c>
      <c r="C332" s="3">
        <f>144677.55+48017.42+11673.51</f>
        <v>204368.47999999998</v>
      </c>
      <c r="D332" s="3">
        <v>154907.01999999999</v>
      </c>
      <c r="E332" s="3">
        <f t="shared" si="18"/>
        <v>57012.380000000034</v>
      </c>
      <c r="F332" s="3">
        <f t="shared" si="16"/>
        <v>49461.459999999992</v>
      </c>
      <c r="G332" s="3">
        <f t="shared" si="17"/>
        <v>7550.9200000000419</v>
      </c>
    </row>
    <row r="333" spans="1:7" x14ac:dyDescent="0.25">
      <c r="A333" s="11" t="s">
        <v>235</v>
      </c>
      <c r="B333" s="3">
        <f>138979.27+37719.82+44775.63</f>
        <v>221474.72</v>
      </c>
      <c r="C333" s="3">
        <f>137077.45+37719.82+44775.63</f>
        <v>219572.90000000002</v>
      </c>
      <c r="D333" s="3">
        <v>192991.46</v>
      </c>
      <c r="E333" s="3">
        <f t="shared" si="18"/>
        <v>28483.260000000009</v>
      </c>
      <c r="F333" s="3">
        <f t="shared" si="16"/>
        <v>26581.440000000031</v>
      </c>
      <c r="G333" s="3">
        <f t="shared" si="17"/>
        <v>1901.8199999999779</v>
      </c>
    </row>
    <row r="334" spans="1:7" s="6" customFormat="1" ht="12" x14ac:dyDescent="0.2">
      <c r="A334" s="13" t="s">
        <v>236</v>
      </c>
      <c r="B334" s="5">
        <f>SUM(B6:B333)</f>
        <v>138621144.34</v>
      </c>
      <c r="C334" s="5">
        <f>SUM(C6:C333)</f>
        <v>136876820.76453224</v>
      </c>
      <c r="D334" s="5">
        <f>SUM(D6:D333)</f>
        <v>135229070.12</v>
      </c>
      <c r="E334" s="5">
        <f>SUM(E6:E333)</f>
        <v>3392074.2199999923</v>
      </c>
      <c r="F334" s="5">
        <f>SUM(F6:F333)</f>
        <v>1647750.6445323373</v>
      </c>
      <c r="G334" s="5">
        <f>SUM(G6:G333)</f>
        <v>1744323.5754676617</v>
      </c>
    </row>
    <row r="576" spans="2:7" s="1" customFormat="1" ht="12.75" x14ac:dyDescent="0.2">
      <c r="B576" s="2"/>
      <c r="C576" s="2"/>
      <c r="D576" s="2"/>
      <c r="E576" s="2"/>
      <c r="F576" s="2"/>
      <c r="G576" s="2"/>
    </row>
  </sheetData>
  <autoFilter ref="A5:G337"/>
  <mergeCells count="9">
    <mergeCell ref="A1:G1"/>
    <mergeCell ref="B4:B5"/>
    <mergeCell ref="B2:G2"/>
    <mergeCell ref="D3:D5"/>
    <mergeCell ref="E3:G3"/>
    <mergeCell ref="C4:C5"/>
    <mergeCell ref="E4:E5"/>
    <mergeCell ref="F4:G4"/>
    <mergeCell ref="A2:A5"/>
  </mergeCells>
  <pageMargins left="0.15748031496062992" right="0.15748031496062992" top="0.15748031496062992" bottom="0.15748031496062992" header="0.31496062992125984" footer="0.31496062992125984"/>
  <pageSetup paperSize="9" scale="83" fitToHeight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кор-ка остатка на 01.01.2014</vt:lpstr>
      <vt:lpstr>'кор-ка остатка на 01.01.2014'!Заголовки_для_печати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 burdina</dc:creator>
  <cp:lastModifiedBy>economist</cp:lastModifiedBy>
  <cp:lastPrinted>2015-02-25T13:48:51Z</cp:lastPrinted>
  <dcterms:created xsi:type="dcterms:W3CDTF">2012-04-05T11:50:21Z</dcterms:created>
  <dcterms:modified xsi:type="dcterms:W3CDTF">2015-02-25T13:48:56Z</dcterms:modified>
</cp:coreProperties>
</file>